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RECONST. REDES AC. POSTRER RIO\"/>
    </mc:Choice>
  </mc:AlternateContent>
  <bookViews>
    <workbookView xWindow="0" yWindow="0" windowWidth="17430" windowHeight="7965" firstSheet="2" activeTab="2"/>
  </bookViews>
  <sheets>
    <sheet name="PRESUPUESTO ORIGINAL" sheetId="18" r:id="rId1"/>
    <sheet name="ANALISIS DE COSTOS OB" sheetId="22" r:id="rId2"/>
    <sheet name="EQ CON CUBQ" sheetId="1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1">#REF!</definedName>
    <definedName name="\a">#REF!</definedName>
    <definedName name="\b" localSheetId="1">#REF!</definedName>
    <definedName name="\b">#REF!</definedName>
    <definedName name="\c">#N/A</definedName>
    <definedName name="\d">#N/A</definedName>
    <definedName name="\f" localSheetId="1">#REF!</definedName>
    <definedName name="\f">#REF!</definedName>
    <definedName name="\i" localSheetId="1">#REF!</definedName>
    <definedName name="\i">#REF!</definedName>
    <definedName name="\m" localSheetId="1">#REF!</definedName>
    <definedName name="\m">#REF!</definedName>
    <definedName name="\o" localSheetId="1">#REF!</definedName>
    <definedName name="\o">#REF!</definedName>
    <definedName name="\p" localSheetId="1">#REF!</definedName>
    <definedName name="\p">#REF!</definedName>
    <definedName name="\q" localSheetId="1">#REF!</definedName>
    <definedName name="\q">#REF!</definedName>
    <definedName name="\w" localSheetId="1">#REF!</definedName>
    <definedName name="\w">#REF!</definedName>
    <definedName name="\z" localSheetId="1">#REF!</definedName>
    <definedName name="\z">#REF!</definedName>
    <definedName name="_________ZC1" localSheetId="1">#REF!</definedName>
    <definedName name="_________ZC1">#REF!</definedName>
    <definedName name="_________ZE1" localSheetId="1">#REF!</definedName>
    <definedName name="_________ZE1">#REF!</definedName>
    <definedName name="_________ZE2" localSheetId="1">#REF!</definedName>
    <definedName name="_________ZE2">#REF!</definedName>
    <definedName name="_________ZE3" localSheetId="1">#REF!</definedName>
    <definedName name="_________ZE3">#REF!</definedName>
    <definedName name="_________ZE4" localSheetId="1">#REF!</definedName>
    <definedName name="_________ZE4">#REF!</definedName>
    <definedName name="_________ZE5" localSheetId="1">#REF!</definedName>
    <definedName name="_________ZE5">#REF!</definedName>
    <definedName name="_________ZE6" localSheetId="1">#REF!</definedName>
    <definedName name="_________ZE6">#REF!</definedName>
    <definedName name="________ZC1" localSheetId="1">#REF!</definedName>
    <definedName name="________ZC1">#REF!</definedName>
    <definedName name="________ZE1" localSheetId="1">#REF!</definedName>
    <definedName name="________ZE1">#REF!</definedName>
    <definedName name="________ZE2" localSheetId="1">#REF!</definedName>
    <definedName name="________ZE2">#REF!</definedName>
    <definedName name="________ZE3" localSheetId="1">#REF!</definedName>
    <definedName name="________ZE3">#REF!</definedName>
    <definedName name="________ZE4" localSheetId="1">#REF!</definedName>
    <definedName name="________ZE4">#REF!</definedName>
    <definedName name="________ZE5" localSheetId="1">#REF!</definedName>
    <definedName name="________ZE5">#REF!</definedName>
    <definedName name="________ZE6" localSheetId="1">#REF!</definedName>
    <definedName name="________ZE6">#REF!</definedName>
    <definedName name="_______ZC1" localSheetId="1">#REF!</definedName>
    <definedName name="_______ZC1">#REF!</definedName>
    <definedName name="_______ZE1" localSheetId="1">#REF!</definedName>
    <definedName name="_______ZE1">#REF!</definedName>
    <definedName name="_______ZE2" localSheetId="1">#REF!</definedName>
    <definedName name="_______ZE2">#REF!</definedName>
    <definedName name="_______ZE3" localSheetId="1">#REF!</definedName>
    <definedName name="_______ZE3">#REF!</definedName>
    <definedName name="_______ZE4" localSheetId="1">#REF!</definedName>
    <definedName name="_______ZE4">#REF!</definedName>
    <definedName name="_______ZE5" localSheetId="1">#REF!</definedName>
    <definedName name="_______ZE5">#REF!</definedName>
    <definedName name="_______ZE6" localSheetId="1">#REF!</definedName>
    <definedName name="_______ZE6">#REF!</definedName>
    <definedName name="______ZC1" localSheetId="1">#REF!</definedName>
    <definedName name="______ZC1">#REF!</definedName>
    <definedName name="______ZE1" localSheetId="1">#REF!</definedName>
    <definedName name="______ZE1">#REF!</definedName>
    <definedName name="______ZE2" localSheetId="1">#REF!</definedName>
    <definedName name="______ZE2">#REF!</definedName>
    <definedName name="______ZE3" localSheetId="1">#REF!</definedName>
    <definedName name="______ZE3">#REF!</definedName>
    <definedName name="______ZE4" localSheetId="1">#REF!</definedName>
    <definedName name="______ZE4">#REF!</definedName>
    <definedName name="______ZE5" localSheetId="1">#REF!</definedName>
    <definedName name="______ZE5">#REF!</definedName>
    <definedName name="______ZE6" localSheetId="1">#REF!</definedName>
    <definedName name="______ZE6">#REF!</definedName>
    <definedName name="_____ZC1" localSheetId="1">#REF!</definedName>
    <definedName name="_____ZC1">#REF!</definedName>
    <definedName name="_____ZE1" localSheetId="1">#REF!</definedName>
    <definedName name="_____ZE1">#REF!</definedName>
    <definedName name="_____ZE2" localSheetId="1">#REF!</definedName>
    <definedName name="_____ZE2">#REF!</definedName>
    <definedName name="_____ZE3" localSheetId="1">#REF!</definedName>
    <definedName name="_____ZE3">#REF!</definedName>
    <definedName name="_____ZE4" localSheetId="1">#REF!</definedName>
    <definedName name="_____ZE4">#REF!</definedName>
    <definedName name="_____ZE5" localSheetId="1">#REF!</definedName>
    <definedName name="_____ZE5">#REF!</definedName>
    <definedName name="_____ZE6" localSheetId="1">#REF!</definedName>
    <definedName name="_____ZE6">#REF!</definedName>
    <definedName name="____ZC1" localSheetId="1">#REF!</definedName>
    <definedName name="____ZC1">#REF!</definedName>
    <definedName name="____ZE1" localSheetId="1">#REF!</definedName>
    <definedName name="____ZE1">#REF!</definedName>
    <definedName name="____ZE2" localSheetId="1">#REF!</definedName>
    <definedName name="____ZE2">#REF!</definedName>
    <definedName name="____ZE3" localSheetId="1">#REF!</definedName>
    <definedName name="____ZE3">#REF!</definedName>
    <definedName name="____ZE4" localSheetId="1">#REF!</definedName>
    <definedName name="____ZE4">#REF!</definedName>
    <definedName name="____ZE5" localSheetId="1">#REF!</definedName>
    <definedName name="____ZE5">#REF!</definedName>
    <definedName name="____ZE6" localSheetId="1">#REF!</definedName>
    <definedName name="____ZE6">#REF!</definedName>
    <definedName name="___ZC1" localSheetId="1">#REF!</definedName>
    <definedName name="___ZC1">#REF!</definedName>
    <definedName name="___ZE1" localSheetId="1">#REF!</definedName>
    <definedName name="___ZE1">#REF!</definedName>
    <definedName name="___ZE2" localSheetId="1">#REF!</definedName>
    <definedName name="___ZE2">#REF!</definedName>
    <definedName name="___ZE3" localSheetId="1">#REF!</definedName>
    <definedName name="___ZE3">#REF!</definedName>
    <definedName name="___ZE4" localSheetId="1">#REF!</definedName>
    <definedName name="___ZE4">#REF!</definedName>
    <definedName name="___ZE5" localSheetId="1">#REF!</definedName>
    <definedName name="___ZE5">#REF!</definedName>
    <definedName name="___ZE6" localSheetId="1">#REF!</definedName>
    <definedName name="___ZE6">#REF!</definedName>
    <definedName name="__REALIZADO" localSheetId="1">#REF!</definedName>
    <definedName name="__REALIZADO">#REF!</definedName>
    <definedName name="__ZC1" localSheetId="1">#REF!</definedName>
    <definedName name="__ZC1">#REF!</definedName>
    <definedName name="__ZE1" localSheetId="1">#REF!</definedName>
    <definedName name="__ZE1">#REF!</definedName>
    <definedName name="__ZE2" localSheetId="1">#REF!</definedName>
    <definedName name="__ZE2">#REF!</definedName>
    <definedName name="__ZE3" localSheetId="1">#REF!</definedName>
    <definedName name="__ZE3">#REF!</definedName>
    <definedName name="__ZE4" localSheetId="1">#REF!</definedName>
    <definedName name="__ZE4">#REF!</definedName>
    <definedName name="__ZE5" localSheetId="1">#REF!</definedName>
    <definedName name="__ZE5">#REF!</definedName>
    <definedName name="__ZE6" localSheetId="1">#REF!</definedName>
    <definedName name="__ZE6">#REF!</definedName>
    <definedName name="_1">#N/A</definedName>
    <definedName name="_F" localSheetId="1">#REF!</definedName>
    <definedName name="_F">#REF!</definedName>
    <definedName name="_Fill" localSheetId="1" hidden="1">#REF!</definedName>
    <definedName name="_Fill" hidden="1">#REF!</definedName>
    <definedName name="_ZC1" localSheetId="1">#REF!</definedName>
    <definedName name="_ZC1">#REF!</definedName>
    <definedName name="_ZE1" localSheetId="1">#REF!</definedName>
    <definedName name="_ZE1">#REF!</definedName>
    <definedName name="_ZE2" localSheetId="1">#REF!</definedName>
    <definedName name="_ZE2">#REF!</definedName>
    <definedName name="_ZE3" localSheetId="1">#REF!</definedName>
    <definedName name="_ZE3">#REF!</definedName>
    <definedName name="_ZE4" localSheetId="1">#REF!</definedName>
    <definedName name="_ZE4">#REF!</definedName>
    <definedName name="_ZE5" localSheetId="1">#REF!</definedName>
    <definedName name="_ZE5">#REF!</definedName>
    <definedName name="_ZE6" localSheetId="1">#REF!</definedName>
    <definedName name="_ZE6">#REF!</definedName>
    <definedName name="a" localSheetId="1">[1]PVC!#REF!</definedName>
    <definedName name="a">[1]PVC!#REF!</definedName>
    <definedName name="A_IMPRESIÓN_IM" localSheetId="1">#REF!</definedName>
    <definedName name="A_IMPRESIÓN_IM">#REF!</definedName>
    <definedName name="AC38G40">'[2]LISTADO INSUMOS DEL 2000'!$I$29</definedName>
    <definedName name="acero" localSheetId="1">#REF!</definedName>
    <definedName name="acero">#REF!</definedName>
    <definedName name="Acero_QQ">[3]INSU!$D$9</definedName>
    <definedName name="acero60" localSheetId="1">#REF!</definedName>
    <definedName name="acero60">#REF!</definedName>
    <definedName name="ACUEDUCTO">[4]INS!#REF!</definedName>
    <definedName name="ADAPTADOR_HEM_PVC_1" localSheetId="1">#REF!</definedName>
    <definedName name="ADAPTADOR_HEM_PVC_1">#REF!</definedName>
    <definedName name="ADAPTADOR_HEM_PVC_12" localSheetId="1">#REF!</definedName>
    <definedName name="ADAPTADOR_HEM_PVC_12">#REF!</definedName>
    <definedName name="ADAPTADOR_HEM_PVC_34" localSheetId="1">#REF!</definedName>
    <definedName name="ADAPTADOR_HEM_PVC_34">#REF!</definedName>
    <definedName name="ADAPTADOR_MAC_PVC_1" localSheetId="1">#REF!</definedName>
    <definedName name="ADAPTADOR_MAC_PVC_1">#REF!</definedName>
    <definedName name="ADAPTADOR_MAC_PVC_12" localSheetId="1">#REF!</definedName>
    <definedName name="ADAPTADOR_MAC_PVC_12">#REF!</definedName>
    <definedName name="ADAPTADOR_MAC_PVC_34" localSheetId="1">#REF!</definedName>
    <definedName name="ADAPTADOR_MAC_PVC_34">#REF!</definedName>
    <definedName name="ADICIONAL">#N/A</definedName>
    <definedName name="ADITIVO_IMPERMEABILIZANTE" localSheetId="1">#REF!</definedName>
    <definedName name="ADITIVO_IMPERMEABILIZANTE">#REF!</definedName>
    <definedName name="Agua" localSheetId="1">#REF!</definedName>
    <definedName name="Agua">#REF!</definedName>
    <definedName name="AL_ELEC_No10" localSheetId="1">#REF!</definedName>
    <definedName name="AL_ELEC_No10">#REF!</definedName>
    <definedName name="AL_ELEC_No12" localSheetId="1">#REF!</definedName>
    <definedName name="AL_ELEC_No12">#REF!</definedName>
    <definedName name="AL_ELEC_No14" localSheetId="1">#REF!</definedName>
    <definedName name="AL_ELEC_No14">#REF!</definedName>
    <definedName name="AL_ELEC_No6" localSheetId="1">#REF!</definedName>
    <definedName name="AL_ELEC_No6">#REF!</definedName>
    <definedName name="AL_ELEC_No8" localSheetId="1">#REF!</definedName>
    <definedName name="AL_ELEC_No8">#REF!</definedName>
    <definedName name="Alambre_Varilla">[3]INSU!$D$17</definedName>
    <definedName name="alambre18" localSheetId="1">#REF!</definedName>
    <definedName name="alambre18">#REF!</definedName>
    <definedName name="ALBANIL" localSheetId="1">#REF!</definedName>
    <definedName name="ALBANIL">#REF!</definedName>
    <definedName name="ALBANIL2">[5]M.O.!$C$12</definedName>
    <definedName name="ALBANIL3" localSheetId="1">#REF!</definedName>
    <definedName name="ALBANIL3">#REF!</definedName>
    <definedName name="ana" localSheetId="1">#REF!</definedName>
    <definedName name="ana">#REF!</definedName>
    <definedName name="analiis" localSheetId="1">[6]M.O.!#REF!</definedName>
    <definedName name="analiis">[6]M.O.!#REF!</definedName>
    <definedName name="ANALISSSSS" localSheetId="1">#REF!</definedName>
    <definedName name="ANALISSSSS">#REF!</definedName>
    <definedName name="ANDAMIOS" localSheetId="1">#REF!</definedName>
    <definedName name="ANDAMIOS">#REF!</definedName>
    <definedName name="ANGULAR" localSheetId="1">#REF!</definedName>
    <definedName name="ANGULAR">#REF!</definedName>
    <definedName name="ARANDELA_INODORO_PVC_4" localSheetId="1">#REF!</definedName>
    <definedName name="ARANDELA_INODORO_PVC_4">#REF!</definedName>
    <definedName name="ARCILLA_ROJA" localSheetId="1">#REF!</definedName>
    <definedName name="ARCILLA_ROJA">#REF!</definedName>
    <definedName name="_xlnm.Extract" localSheetId="1">#REF!</definedName>
    <definedName name="_xlnm.Extract">#REF!</definedName>
    <definedName name="_xlnm.Print_Area" localSheetId="1">'ANALISIS DE COSTOS OB'!$A$1:$J$617</definedName>
    <definedName name="_xlnm.Print_Area">#REF!</definedName>
    <definedName name="ARENA_PAÑETE" localSheetId="1">#REF!</definedName>
    <definedName name="ARENA_PAÑETE">#REF!</definedName>
    <definedName name="ArenaItabo" localSheetId="1">#REF!</definedName>
    <definedName name="ArenaItabo">#REF!</definedName>
    <definedName name="ArenaPlanta" localSheetId="1">#REF!</definedName>
    <definedName name="ArenaPlanta">#REF!</definedName>
    <definedName name="as" localSheetId="1">[7]M.O.!#REF!</definedName>
    <definedName name="as">[7]M.O.!#REF!</definedName>
    <definedName name="asd" localSheetId="1">#REF!</definedName>
    <definedName name="asd">#REF!</definedName>
    <definedName name="AYCARP" localSheetId="1">[8]INS!#REF!</definedName>
    <definedName name="AYCARP">[8]INS!#REF!</definedName>
    <definedName name="AYUDANTE" localSheetId="1">#REF!</definedName>
    <definedName name="AYUDANTE">#REF!</definedName>
    <definedName name="Ayudante_2da" localSheetId="1">#REF!</definedName>
    <definedName name="Ayudante_2da">#REF!</definedName>
    <definedName name="Ayudante_Soldador" localSheetId="1">#REF!</definedName>
    <definedName name="Ayudante_Soldador">#REF!</definedName>
    <definedName name="b" localSheetId="1">[9]ADDENDA!#REF!</definedName>
    <definedName name="b">[9]ADDENDA!#REF!</definedName>
    <definedName name="BALDOSAS_TRANSPARENTE" localSheetId="1">#REF!</definedName>
    <definedName name="BALDOSAS_TRANSPARENTE">#REF!</definedName>
    <definedName name="bas3e" localSheetId="1">#REF!</definedName>
    <definedName name="bas3e">#REF!</definedName>
    <definedName name="base" localSheetId="1">#REF!</definedName>
    <definedName name="base">#REF!</definedName>
    <definedName name="BASE_CONTEN" localSheetId="1">#REF!</definedName>
    <definedName name="BASE_CONTEN">#REF!</definedName>
    <definedName name="BBB" localSheetId="1">#REF!</definedName>
    <definedName name="BBB">#REF!</definedName>
    <definedName name="BLOCK_4" localSheetId="1">#REF!</definedName>
    <definedName name="BLOCK_4">#REF!</definedName>
    <definedName name="BLOCK_6" localSheetId="1">#REF!</definedName>
    <definedName name="BLOCK_6">#REF!</definedName>
    <definedName name="BLOCK_8" localSheetId="1">#REF!</definedName>
    <definedName name="BLOCK_8">#REF!</definedName>
    <definedName name="BLOCK_CALADO" localSheetId="1">#REF!</definedName>
    <definedName name="BLOCK_CALADO">#REF!</definedName>
    <definedName name="bloque8" localSheetId="1">#REF!</definedName>
    <definedName name="bloque8">#REF!</definedName>
    <definedName name="BOMBA_ACHIQUE" localSheetId="1">#REF!</definedName>
    <definedName name="BOMBA_ACHIQUE">#REF!</definedName>
    <definedName name="BOMBILLAS_1500W">[10]INSU!$B$42</definedName>
    <definedName name="BOQUILLA_FREGADERO_CROMO" localSheetId="1">#REF!</definedName>
    <definedName name="BOQUILLA_FREGADERO_CROMO">#REF!</definedName>
    <definedName name="BOQUILLA_LAVADERO_CROMO" localSheetId="1">#REF!</definedName>
    <definedName name="BOQUILLA_LAVADERO_CROMO">#REF!</definedName>
    <definedName name="BOTE" localSheetId="1">#REF!</definedName>
    <definedName name="BOTE">#REF!</definedName>
    <definedName name="BREAKERS" localSheetId="1">#REF!</definedName>
    <definedName name="BREAKERS">#REF!</definedName>
    <definedName name="BREAKERS_15A" localSheetId="1">#REF!</definedName>
    <definedName name="BREAKERS_15A">#REF!</definedName>
    <definedName name="BREAKERS_20A" localSheetId="1">#REF!</definedName>
    <definedName name="BREAKERS_20A">#REF!</definedName>
    <definedName name="BREAKERS_30A" localSheetId="1">#REF!</definedName>
    <definedName name="BREAKERS_30A">#REF!</definedName>
    <definedName name="BRIGADATOPOGRAFICA">[5]M.O.!$C$9</definedName>
    <definedName name="BVNBVNBV">[11]M.O.!#REF!</definedName>
    <definedName name="C._ADICIONAL">#N/A</definedName>
    <definedName name="caballeteasbecto">[12]precios!#REF!</definedName>
    <definedName name="caballeteasbeto">[12]precios!#REF!</definedName>
    <definedName name="CAJA_2x4_12" localSheetId="1">#REF!</definedName>
    <definedName name="CAJA_2x4_12">#REF!</definedName>
    <definedName name="CAJA_2x4_34" localSheetId="1">#REF!</definedName>
    <definedName name="CAJA_2x4_34">#REF!</definedName>
    <definedName name="CAJA_OCTAGONAL" localSheetId="1">#REF!</definedName>
    <definedName name="CAJA_OCTAGONAL">#REF!</definedName>
    <definedName name="Cal" localSheetId="1">#REF!</definedName>
    <definedName name="Cal">#REF!</definedName>
    <definedName name="CALICHE" localSheetId="1">#REF!</definedName>
    <definedName name="CALICHE">#REF!</definedName>
    <definedName name="CAMION_BOTE" localSheetId="1">#REF!</definedName>
    <definedName name="CAMION_BOTE">#REF!</definedName>
    <definedName name="CARACOL" localSheetId="1">[6]M.O.!#REF!</definedName>
    <definedName name="CARACOL">[6]M.O.!#REF!</definedName>
    <definedName name="CARANTEPECHO" localSheetId="1">[5]M.O.!#REF!</definedName>
    <definedName name="CARANTEPECHO">[5]M.O.!#REF!</definedName>
    <definedName name="CARCOL30" localSheetId="1">[5]M.O.!#REF!</definedName>
    <definedName name="CARCOL30">[5]M.O.!#REF!</definedName>
    <definedName name="CARCOL50" localSheetId="1">[5]M.O.!#REF!</definedName>
    <definedName name="CARCOL50">[5]M.O.!#REF!</definedName>
    <definedName name="CARCOLAMARRE">[5]M.O.!#REF!</definedName>
    <definedName name="CARGA_SOCIAL" localSheetId="1">#REF!</definedName>
    <definedName name="CARGA_SOCIAL">#REF!</definedName>
    <definedName name="CARLOSAPLA">[5]M.O.!#REF!</definedName>
    <definedName name="CARLOSAVARIASAGUAS">[5]M.O.!#REF!</definedName>
    <definedName name="CARMURO">[5]M.O.!#REF!</definedName>
    <definedName name="CARP1">[8]INS!#REF!</definedName>
    <definedName name="CARP2">[8]INS!#REF!</definedName>
    <definedName name="CARPDINTEL">[5]M.O.!#REF!</definedName>
    <definedName name="CARPINTERIA_COL_PERIMETRO" localSheetId="1">#REF!</definedName>
    <definedName name="CARPINTERIA_COL_PERIMETRO">#REF!</definedName>
    <definedName name="CARPINTERIA_INSTAL_COL_PERIMETRO" localSheetId="1">#REF!</definedName>
    <definedName name="CARPINTERIA_INSTAL_COL_PERIMETRO">#REF!</definedName>
    <definedName name="CARPVIGA2040" localSheetId="1">[5]M.O.!#REF!</definedName>
    <definedName name="CARPVIGA2040">[5]M.O.!#REF!</definedName>
    <definedName name="CARPVIGA3050" localSheetId="1">[5]M.O.!#REF!</definedName>
    <definedName name="CARPVIGA3050">[5]M.O.!#REF!</definedName>
    <definedName name="CARPVIGA3060">[5]M.O.!#REF!</definedName>
    <definedName name="CARPVIGA4080">[5]M.O.!#REF!</definedName>
    <definedName name="CARRAMPA">[5]M.O.!#REF!</definedName>
    <definedName name="CARRETILLA" localSheetId="1">#REF!</definedName>
    <definedName name="CARRETILLA">#REF!</definedName>
    <definedName name="CASABE">[6]M.O.!#REF!</definedName>
    <definedName name="CASBESTO">[5]M.O.!#REF!</definedName>
    <definedName name="CBLOCK10">[8]INS!#REF!</definedName>
    <definedName name="cell">'[13]LISTADO INSUMOS DEL 2000'!$I$29</definedName>
    <definedName name="CEMENTO" localSheetId="1">#REF!</definedName>
    <definedName name="CEMENTO">#REF!</definedName>
    <definedName name="CEMENTO_BLANCO" localSheetId="1">#REF!</definedName>
    <definedName name="CEMENTO_BLANCO">#REF!</definedName>
    <definedName name="CEMENTO_PVC" localSheetId="1">#REF!</definedName>
    <definedName name="CEMENTO_PVC">#REF!</definedName>
    <definedName name="CERAMICA_20x20_BLANCA" localSheetId="1">#REF!</definedName>
    <definedName name="CERAMICA_20x20_BLANCA">#REF!</definedName>
    <definedName name="CERAMICA_ANTIDESLIZANTE" localSheetId="1">#REF!</definedName>
    <definedName name="CERAMICA_ANTIDESLIZANTE">#REF!</definedName>
    <definedName name="CERAMICA_PISOS_40x40" localSheetId="1">#REF!</definedName>
    <definedName name="CERAMICA_PISOS_40x40">#REF!</definedName>
    <definedName name="CHAZO">[10]INSU!$B$104</definedName>
    <definedName name="CHAZOS" localSheetId="1">#REF!</definedName>
    <definedName name="CHAZOS">#REF!</definedName>
    <definedName name="CHEQUE_HORZ_34" localSheetId="1">#REF!</definedName>
    <definedName name="CHEQUE_HORZ_34">#REF!</definedName>
    <definedName name="CHEQUE_VERT_34" localSheetId="1">#REF!</definedName>
    <definedName name="CHEQUE_VERT_34">#REF!</definedName>
    <definedName name="CLAVO_ACERO">[3]INSU!$D$130</definedName>
    <definedName name="CLAVO_CORRIENTE">[3]INSU!$D$131</definedName>
    <definedName name="CLAVO_ZINC" localSheetId="1">#REF!</definedName>
    <definedName name="CLAVO_ZINC">#REF!</definedName>
    <definedName name="clavos" localSheetId="1">#REF!</definedName>
    <definedName name="clavos">#REF!</definedName>
    <definedName name="CLAVOZINC">[14]INS!$D$767</definedName>
    <definedName name="CODIGO">#N/A</definedName>
    <definedName name="CODO_ACERO_16x25a70">#REF!</definedName>
    <definedName name="CODO_ACERO_16x25menos" localSheetId="1">#REF!</definedName>
    <definedName name="CODO_ACERO_16x25menos">#REF!</definedName>
    <definedName name="CODO_ACERO_16x45" localSheetId="1">#REF!</definedName>
    <definedName name="CODO_ACERO_16x45">#REF!</definedName>
    <definedName name="CODO_ACERO_16x70mas" localSheetId="1">#REF!</definedName>
    <definedName name="CODO_ACERO_16x70mas">#REF!</definedName>
    <definedName name="CODO_ACERO_16x90" localSheetId="1">#REF!</definedName>
    <definedName name="CODO_ACERO_16x90">#REF!</definedName>
    <definedName name="CODO_ACERO_20x90" localSheetId="1">#REF!</definedName>
    <definedName name="CODO_ACERO_20x90">#REF!</definedName>
    <definedName name="CODO_ACERO_3x45" localSheetId="1">#REF!</definedName>
    <definedName name="CODO_ACERO_3x45">#REF!</definedName>
    <definedName name="CODO_ACERO_3x90" localSheetId="1">#REF!</definedName>
    <definedName name="CODO_ACERO_3x90">#REF!</definedName>
    <definedName name="CODO_ACERO_4X45" localSheetId="1">#REF!</definedName>
    <definedName name="CODO_ACERO_4X45">#REF!</definedName>
    <definedName name="CODO_ACERO_4X90" localSheetId="1">#REF!</definedName>
    <definedName name="CODO_ACERO_4X90">#REF!</definedName>
    <definedName name="CODO_ACERO_6x25a70" localSheetId="1">#REF!</definedName>
    <definedName name="CODO_ACERO_6x25a70">#REF!</definedName>
    <definedName name="CODO_ACERO_6x25menos" localSheetId="1">#REF!</definedName>
    <definedName name="CODO_ACERO_6x25menos">#REF!</definedName>
    <definedName name="CODO_ACERO_6x70mas" localSheetId="1">#REF!</definedName>
    <definedName name="CODO_ACERO_6x70mas">#REF!</definedName>
    <definedName name="CODO_ACERO_8x25a70" localSheetId="1">#REF!</definedName>
    <definedName name="CODO_ACERO_8x25a70">#REF!</definedName>
    <definedName name="CODO_ACERO_8x25menos" localSheetId="1">#REF!</definedName>
    <definedName name="CODO_ACERO_8x25menos">#REF!</definedName>
    <definedName name="CODO_ACERO_8x45" localSheetId="1">#REF!</definedName>
    <definedName name="CODO_ACERO_8x45">#REF!</definedName>
    <definedName name="CODO_ACERO_8x70mas" localSheetId="1">#REF!</definedName>
    <definedName name="CODO_ACERO_8x70mas">#REF!</definedName>
    <definedName name="CODO_ACERO_8x90" localSheetId="1">#REF!</definedName>
    <definedName name="CODO_ACERO_8x90">#REF!</definedName>
    <definedName name="CODO_CPVC_12x90" localSheetId="1">#REF!</definedName>
    <definedName name="CODO_CPVC_12x90">#REF!</definedName>
    <definedName name="CODO_ELEC_1" localSheetId="1">#REF!</definedName>
    <definedName name="CODO_ELEC_1">#REF!</definedName>
    <definedName name="CODO_ELEC_12" localSheetId="1">#REF!</definedName>
    <definedName name="CODO_ELEC_12">#REF!</definedName>
    <definedName name="CODO_ELEC_1y12" localSheetId="1">#REF!</definedName>
    <definedName name="CODO_ELEC_1y12">#REF!</definedName>
    <definedName name="CODO_ELEC_2" localSheetId="1">#REF!</definedName>
    <definedName name="CODO_ELEC_2">#REF!</definedName>
    <definedName name="CODO_ELEC_34" localSheetId="1">#REF!</definedName>
    <definedName name="CODO_ELEC_34">#REF!</definedName>
    <definedName name="CODO_HG_1_12_x90" localSheetId="1">#REF!</definedName>
    <definedName name="CODO_HG_1_12_x90">#REF!</definedName>
    <definedName name="CODO_HG_12x90" localSheetId="1">#REF!</definedName>
    <definedName name="CODO_HG_12x90">#REF!</definedName>
    <definedName name="CODO_HG_1x90" localSheetId="1">#REF!</definedName>
    <definedName name="CODO_HG_1x90">#REF!</definedName>
    <definedName name="CODO_HG_1y12x90" localSheetId="1">#REF!</definedName>
    <definedName name="CODO_HG_1y12x90">#REF!</definedName>
    <definedName name="CODO_HG_2x90" localSheetId="1">#REF!</definedName>
    <definedName name="CODO_HG_2x90">#REF!</definedName>
    <definedName name="CODO_HG_34x90" localSheetId="1">#REF!</definedName>
    <definedName name="CODO_HG_34x90">#REF!</definedName>
    <definedName name="CODO_PVC_DRE_2x45" localSheetId="1">#REF!</definedName>
    <definedName name="CODO_PVC_DRE_2x45">#REF!</definedName>
    <definedName name="CODO_PVC_DRE_2x90" localSheetId="1">#REF!</definedName>
    <definedName name="CODO_PVC_DRE_2x90">#REF!</definedName>
    <definedName name="CODO_PVC_DRE_3x45" localSheetId="1">#REF!</definedName>
    <definedName name="CODO_PVC_DRE_3x45">#REF!</definedName>
    <definedName name="CODO_PVC_DRE_3x90" localSheetId="1">#REF!</definedName>
    <definedName name="CODO_PVC_DRE_3x90">#REF!</definedName>
    <definedName name="CODO_PVC_DRE_4x45" localSheetId="1">#REF!</definedName>
    <definedName name="CODO_PVC_DRE_4x45">#REF!</definedName>
    <definedName name="CODO_PVC_DRE_4x90" localSheetId="1">#REF!</definedName>
    <definedName name="CODO_PVC_DRE_4x90">#REF!</definedName>
    <definedName name="CODO_PVC_PRES_12x90" localSheetId="1">#REF!</definedName>
    <definedName name="CODO_PVC_PRES_12x90">#REF!</definedName>
    <definedName name="CODO_PVC_PRES_1x90" localSheetId="1">#REF!</definedName>
    <definedName name="CODO_PVC_PRES_1x90">#REF!</definedName>
    <definedName name="COLA_EXT_LAVAMANOS_PVC_1_14x8" localSheetId="1">#REF!</definedName>
    <definedName name="COLA_EXT_LAVAMANOS_PVC_1_14x8">#REF!</definedName>
    <definedName name="COLC1" localSheetId="1">#REF!</definedName>
    <definedName name="COLC1">#REF!</definedName>
    <definedName name="COLC2" localSheetId="1">#REF!</definedName>
    <definedName name="COLC2">#REF!</definedName>
    <definedName name="COLC3CIR" localSheetId="1">#REF!</definedName>
    <definedName name="COLC3CIR">#REF!</definedName>
    <definedName name="COLC4" localSheetId="1">#REF!</definedName>
    <definedName name="COLC4">#REF!</definedName>
    <definedName name="COLOC_BLOCK4" localSheetId="1">#REF!</definedName>
    <definedName name="COLOC_BLOCK4">#REF!</definedName>
    <definedName name="COLOC_BLOCK6" localSheetId="1">#REF!</definedName>
    <definedName name="COLOC_BLOCK6">#REF!</definedName>
    <definedName name="COLOC_BLOCK8" localSheetId="1">#REF!</definedName>
    <definedName name="COLOC_BLOCK8">#REF!</definedName>
    <definedName name="COLOC_TUB_PEAD_16" localSheetId="1">#REF!</definedName>
    <definedName name="COLOC_TUB_PEAD_16">#REF!</definedName>
    <definedName name="COLOC_TUB_PEAD_20" localSheetId="1">#REF!</definedName>
    <definedName name="COLOC_TUB_PEAD_20">#REF!</definedName>
    <definedName name="COLOC_TUB_PEAD_8" localSheetId="1">#REF!</definedName>
    <definedName name="COLOC_TUB_PEAD_8">#REF!</definedName>
    <definedName name="COMPRESOR" localSheetId="1">#REF!</definedName>
    <definedName name="COMPRESOR">#REF!</definedName>
    <definedName name="COMPUERTA_1x1_VOLANTA" localSheetId="1">#REF!</definedName>
    <definedName name="COMPUERTA_1x1_VOLANTA">#REF!</definedName>
    <definedName name="CONTEN" localSheetId="1">#REF!</definedName>
    <definedName name="CONTEN">#REF!</definedName>
    <definedName name="COPIA" localSheetId="1">[4]INS!#REF!</definedName>
    <definedName name="COPIA">[4]INS!#REF!</definedName>
    <definedName name="CRUZ_HG_1_12" localSheetId="1">#REF!</definedName>
    <definedName name="CRUZ_HG_1_12">#REF!</definedName>
    <definedName name="cuadro" localSheetId="1">[9]ADDENDA!#REF!</definedName>
    <definedName name="cuadro">[9]ADDENDA!#REF!</definedName>
    <definedName name="CUBETA_5Gls" localSheetId="1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1">#REF!</definedName>
    <definedName name="CUBO_GOMA">#REF!</definedName>
    <definedName name="CUBREFALTA_INODORO_CROMO_38" localSheetId="1">#REF!</definedName>
    <definedName name="CUBREFALTA_INODORO_CROMO_38">#REF!</definedName>
    <definedName name="CURVA_ELEC_PVC_12" localSheetId="1">#REF!</definedName>
    <definedName name="CURVA_ELEC_PVC_12">#REF!</definedName>
    <definedName name="CURVA_ELEC_PVC_34" localSheetId="1">#REF!</definedName>
    <definedName name="CURVA_ELEC_PVC_34">#REF!</definedName>
    <definedName name="CUT_OUT_100AMP" localSheetId="1">#REF!</definedName>
    <definedName name="CUT_OUT_100AMP">#REF!</definedName>
    <definedName name="CUT_OUT_200AMP" localSheetId="1">#REF!</definedName>
    <definedName name="CUT_OUT_200AMP">#REF!</definedName>
    <definedName name="CZINC" localSheetId="1">[5]M.O.!#REF!</definedName>
    <definedName name="CZINC">[5]M.O.!#REF!</definedName>
    <definedName name="D" localSheetId="1">#REF!</definedName>
    <definedName name="D">#REF!</definedName>
    <definedName name="derop" localSheetId="1">[7]M.O.!#REF!</definedName>
    <definedName name="derop">[7]M.O.!#REF!</definedName>
    <definedName name="DERRETIDO_BCO" localSheetId="1">#REF!</definedName>
    <definedName name="DERRETIDO_BCO">#REF!</definedName>
    <definedName name="DESAGUE_DOBLE_FREGADERO_PVC" localSheetId="1">#REF!</definedName>
    <definedName name="DESAGUE_DOBLE_FREGADERO_PVC">#REF!</definedName>
    <definedName name="DESCRIPCION">#N/A</definedName>
    <definedName name="desencofrado" localSheetId="1">#REF!</definedName>
    <definedName name="desencofrado">#REF!</definedName>
    <definedName name="DESENCOFRADO_COLS">[3]MO!$B$256</definedName>
    <definedName name="DESENCOFRADO_LOSA" localSheetId="1">#REF!</definedName>
    <definedName name="DESENCOFRADO_LOSA">#REF!</definedName>
    <definedName name="DESENCOFRADO_MURO" localSheetId="1">#REF!</definedName>
    <definedName name="DESENCOFRADO_MURO">#REF!</definedName>
    <definedName name="DESENCOFRADO_VIGA" localSheetId="1">#REF!</definedName>
    <definedName name="DESENCOFRADO_VIGA">#REF!</definedName>
    <definedName name="desencofradovigas" localSheetId="1">#REF!</definedName>
    <definedName name="desencofradovigas">#REF!</definedName>
    <definedName name="DIA" localSheetId="1">#REF!</definedName>
    <definedName name="DIA">#REF!</definedName>
    <definedName name="DIOS" localSheetId="1">#REF!</definedName>
    <definedName name="DIOS">#REF!</definedName>
    <definedName name="DISTRIBUCION_DE_AREAS_POR_NIVEL" localSheetId="1">#REF!</definedName>
    <definedName name="DISTRIBUCION_DE_AREAS_POR_NIVEL">#REF!</definedName>
    <definedName name="donatelo" localSheetId="1">[15]INS!#REF!</definedName>
    <definedName name="donatelo">[15]INS!#REF!</definedName>
    <definedName name="DUCHA_PLASTICA_CALIENTE_CROMO_12" localSheetId="1">#REF!</definedName>
    <definedName name="DUCHA_PLASTICA_CALIENTE_CROMO_12">#REF!</definedName>
    <definedName name="e" localSheetId="1">#REF!</definedName>
    <definedName name="e">#REF!</definedName>
    <definedName name="ELECTRODOS" localSheetId="1">#REF!</definedName>
    <definedName name="ELECTRODOS">#REF!</definedName>
    <definedName name="ENCACHE" localSheetId="1">#REF!</definedName>
    <definedName name="ENCACHE">#REF!</definedName>
    <definedName name="ENCOF_COLS_1">[3]MO!$B$247</definedName>
    <definedName name="ENCOF_DES_TC_COL_VIGA_AMARRE" localSheetId="1">#REF!</definedName>
    <definedName name="ENCOF_DES_TC_COL_VIGA_AMARRE">#REF!</definedName>
    <definedName name="ENCOF_DES_TC_COL50" localSheetId="1">#REF!</definedName>
    <definedName name="ENCOF_DES_TC_COL50">#REF!</definedName>
    <definedName name="ENCOF_DES_TC_DINTEL_ML" localSheetId="1">#REF!</definedName>
    <definedName name="ENCOF_DES_TC_DINTEL_ML">#REF!</definedName>
    <definedName name="ENCOF_DES_TC_MUROS" localSheetId="1">#REF!</definedName>
    <definedName name="ENCOF_DES_TC_MUROS">#REF!</definedName>
    <definedName name="ENCOF_TC_LOSA" localSheetId="1">#REF!</definedName>
    <definedName name="ENCOF_TC_LOSA">#REF!</definedName>
    <definedName name="ENCOF_TC_MURO_1" localSheetId="1">#REF!</definedName>
    <definedName name="ENCOF_TC_MURO_1">#REF!</definedName>
    <definedName name="ENCOFRADO_COL_RETALLE_0.10" localSheetId="1">#REF!</definedName>
    <definedName name="ENCOFRADO_COL_RETALLE_0.10">#REF!</definedName>
    <definedName name="ENCOFRADO_ESCALERA" localSheetId="1">#REF!</definedName>
    <definedName name="ENCOFRADO_ESCALERA">#REF!</definedName>
    <definedName name="ENCOFRADO_LOSA" localSheetId="1">#REF!</definedName>
    <definedName name="ENCOFRADO_LOSA">#REF!</definedName>
    <definedName name="ENCOFRADO_MUROS" localSheetId="1">#REF!</definedName>
    <definedName name="ENCOFRADO_MUROS">#REF!</definedName>
    <definedName name="ENCOFRADO_MUROS_CONFECC" localSheetId="1">#REF!</definedName>
    <definedName name="ENCOFRADO_MUROS_CONFECC">#REF!</definedName>
    <definedName name="ENCOFRADO_MUROS_instalacion" localSheetId="1">#REF!</definedName>
    <definedName name="ENCOFRADO_MUROS_instalacion">#REF!</definedName>
    <definedName name="ENCOFRADO_VIGA" localSheetId="1">#REF!</definedName>
    <definedName name="ENCOFRADO_VIGA">#REF!</definedName>
    <definedName name="ENCOFRADO_VIGA_AMARRE_20x20" localSheetId="1">#REF!</definedName>
    <definedName name="ENCOFRADO_VIGA_AMARRE_20x20">#REF!</definedName>
    <definedName name="ENCOFRADO_VIGA_FONDO" localSheetId="1">#REF!</definedName>
    <definedName name="ENCOFRADO_VIGA_FONDO">#REF!</definedName>
    <definedName name="ENCOFRADO_VIGA_GUARDERA" localSheetId="1">#REF!</definedName>
    <definedName name="ENCOFRADO_VIGA_GUARDERA">#REF!</definedName>
    <definedName name="encofradocolumna" localSheetId="1">#REF!</definedName>
    <definedName name="encofradocolumna">#REF!</definedName>
    <definedName name="encofradorampa" localSheetId="1">#REF!</definedName>
    <definedName name="encofradorampa">#REF!</definedName>
    <definedName name="ESCALON_17x30" localSheetId="1">#REF!</definedName>
    <definedName name="ESCALON_17x30">#REF!</definedName>
    <definedName name="ESCOBILLON" localSheetId="1">#REF!</definedName>
    <definedName name="ESCOBILLON">#REF!</definedName>
    <definedName name="ESTAMPADO" localSheetId="1">#REF!</definedName>
    <definedName name="ESTAMPADO">#REF!</definedName>
    <definedName name="ESTOPA" localSheetId="1">#REF!</definedName>
    <definedName name="ESTOPA">#REF!</definedName>
    <definedName name="expl" localSheetId="1">[9]ADDENDA!#REF!</definedName>
    <definedName name="expl">[9]ADDENDA!#REF!</definedName>
    <definedName name="Extracción_IM" localSheetId="1">#REF!</definedName>
    <definedName name="Extracción_IM">#REF!</definedName>
    <definedName name="FIOR" localSheetId="1">#REF!</definedName>
    <definedName name="FIOR">#REF!</definedName>
    <definedName name="FREGADERO_DOBLE_ACERO_INOX" localSheetId="1">#REF!</definedName>
    <definedName name="FREGADERO_DOBLE_ACERO_INOX">#REF!</definedName>
    <definedName name="FREGADERO_SENCILLO_ACERO_INOX" localSheetId="1">#REF!</definedName>
    <definedName name="FREGADERO_SENCILLO_ACERO_INOX">#REF!</definedName>
    <definedName name="FSDFS" localSheetId="1">#REF!</definedName>
    <definedName name="FSDFS">#REF!</definedName>
    <definedName name="GAS_CIL" localSheetId="1">#REF!</definedName>
    <definedName name="GAS_CIL">#REF!</definedName>
    <definedName name="GASOIL" localSheetId="1">#REF!</definedName>
    <definedName name="GASOIL">#REF!</definedName>
    <definedName name="GASOLINA">[8]INS!$D$561</definedName>
    <definedName name="GAVIONES" localSheetId="1">#REF!</definedName>
    <definedName name="GAVIONES">#REF!</definedName>
    <definedName name="GENERADOR_DIESEL_400KW" localSheetId="1">#REF!</definedName>
    <definedName name="GENERADOR_DIESEL_400KW">#REF!</definedName>
    <definedName name="GRANITO_30x30" localSheetId="1">#REF!</definedName>
    <definedName name="GRANITO_30x30">#REF!</definedName>
    <definedName name="GRANITO_40x40" localSheetId="1">#REF!</definedName>
    <definedName name="GRANITO_40x40">#REF!</definedName>
    <definedName name="GRANITO_FONDO_BCO_30x30" localSheetId="1">#REF!</definedName>
    <definedName name="GRANITO_FONDO_BCO_30x30">#REF!</definedName>
    <definedName name="GRANITO_FONDO_GRIS" localSheetId="1">#REF!</definedName>
    <definedName name="GRANITO_FONDO_GRIS">#REF!</definedName>
    <definedName name="Grava" localSheetId="1">#REF!</definedName>
    <definedName name="Grava">#REF!</definedName>
    <definedName name="GRUA" localSheetId="1">#REF!</definedName>
    <definedName name="GRUA">#REF!</definedName>
    <definedName name="GT" localSheetId="1">#REF!</definedName>
    <definedName name="GT">#REF!</definedName>
    <definedName name="HACHA" localSheetId="1">#REF!</definedName>
    <definedName name="HACHA">#REF!</definedName>
    <definedName name="HERR_MENO" localSheetId="1">#REF!</definedName>
    <definedName name="HERR_MENO">#REF!</definedName>
    <definedName name="HILO" localSheetId="1">#REF!</definedName>
    <definedName name="HILO">#REF!</definedName>
    <definedName name="Horm_124_TrompoyWinche" localSheetId="1">#REF!</definedName>
    <definedName name="Horm_124_TrompoyWinche">#REF!</definedName>
    <definedName name="HORM_IND_180" localSheetId="1">#REF!</definedName>
    <definedName name="HORM_IND_180">#REF!</definedName>
    <definedName name="HORM_IND_210" localSheetId="1">#REF!</definedName>
    <definedName name="HORM_IND_210">#REF!</definedName>
    <definedName name="HORM_IND_240" localSheetId="1">#REF!</definedName>
    <definedName name="HORM_IND_240">#REF!</definedName>
    <definedName name="HORM135_MANUAL">'[14]HORM. Y MORTEROS.'!$H$212</definedName>
    <definedName name="hormigon140" localSheetId="1">#REF!</definedName>
    <definedName name="hormigon140">#REF!</definedName>
    <definedName name="hormigon180" localSheetId="1">#REF!</definedName>
    <definedName name="hormigon180">#REF!</definedName>
    <definedName name="hormigon210" localSheetId="1">#REF!</definedName>
    <definedName name="hormigon210">#REF!</definedName>
    <definedName name="ilma" localSheetId="1">[6]M.O.!#REF!</definedName>
    <definedName name="ilma">[6]M.O.!#REF!</definedName>
    <definedName name="Imprimir_área_IM" localSheetId="1">#REF!</definedName>
    <definedName name="Imprimir_área_IM">#REF!</definedName>
    <definedName name="ingeniera">[7]M.O.!$C$10</definedName>
    <definedName name="INODORO_BCO_TAPA" localSheetId="1">#REF!</definedName>
    <definedName name="INODORO_BCO_TAPA">#REF!</definedName>
    <definedName name="INSUMO_1" localSheetId="1">#REF!</definedName>
    <definedName name="INSUMO_1">#REF!</definedName>
    <definedName name="INTERRUPTOR_3w" localSheetId="1">#REF!</definedName>
    <definedName name="INTERRUPTOR_3w">#REF!</definedName>
    <definedName name="INTERRUPTOR_4w" localSheetId="1">#REF!</definedName>
    <definedName name="INTERRUPTOR_4w">#REF!</definedName>
    <definedName name="INTERRUPTOR_DOBLE" localSheetId="1">#REF!</definedName>
    <definedName name="INTERRUPTOR_DOBLE">#REF!</definedName>
    <definedName name="INTERRUPTOR_SENC" localSheetId="1">#REF!</definedName>
    <definedName name="INTERRUPTOR_SENC">#REF!</definedName>
    <definedName name="JOEL" localSheetId="1">#REF!</definedName>
    <definedName name="JOEL">#REF!</definedName>
    <definedName name="JUNTA_CERA_INODORO" localSheetId="1">#REF!</definedName>
    <definedName name="JUNTA_CERA_INODORO">#REF!</definedName>
    <definedName name="JUNTA_DRESSER_12" localSheetId="1">#REF!</definedName>
    <definedName name="JUNTA_DRESSER_12">#REF!</definedName>
    <definedName name="JUNTA_DRESSER_16" localSheetId="1">#REF!</definedName>
    <definedName name="JUNTA_DRESSER_16">#REF!</definedName>
    <definedName name="JUNTA_DRESSER_2" localSheetId="1">#REF!</definedName>
    <definedName name="JUNTA_DRESSER_2">#REF!</definedName>
    <definedName name="JUNTA_DRESSER_3" localSheetId="1">#REF!</definedName>
    <definedName name="JUNTA_DRESSER_3">#REF!</definedName>
    <definedName name="JUNTA_DRESSER_4" localSheetId="1">#REF!</definedName>
    <definedName name="JUNTA_DRESSER_4">#REF!</definedName>
    <definedName name="JUNTA_DRESSER_6" localSheetId="1">#REF!</definedName>
    <definedName name="JUNTA_DRESSER_6">#REF!</definedName>
    <definedName name="JUNTA_DRESSER_8" localSheetId="1">#REF!</definedName>
    <definedName name="JUNTA_DRESSER_8">#REF!</definedName>
    <definedName name="JUNTA_WATER_STOP_9" localSheetId="1">#REF!</definedName>
    <definedName name="JUNTA_WATER_STOP_9">#REF!</definedName>
    <definedName name="k" localSheetId="1">[6]M.O.!#REF!</definedName>
    <definedName name="k">[6]M.O.!#REF!</definedName>
    <definedName name="LADRILLOS_4x8x2" localSheetId="1">#REF!</definedName>
    <definedName name="LADRILLOS_4x8x2">#REF!</definedName>
    <definedName name="LAMPARA_FLUORESC_2x4" localSheetId="1">#REF!</definedName>
    <definedName name="LAMPARA_FLUORESC_2x4">#REF!</definedName>
    <definedName name="LAMPARAS_DE_1500W_220V">[10]INSU!$B$41</definedName>
    <definedName name="LAQUEAR_MADERA" localSheetId="1">#REF!</definedName>
    <definedName name="LAQUEAR_MADERA">#REF!</definedName>
    <definedName name="LAVADERO_DOBLE" localSheetId="1">#REF!</definedName>
    <definedName name="LAVADERO_DOBLE">#REF!</definedName>
    <definedName name="LAVADERO_GRANITO_SENCILLO" localSheetId="1">#REF!</definedName>
    <definedName name="LAVADERO_GRANITO_SENCILLO">#REF!</definedName>
    <definedName name="LAVAMANO_19x17_BCO" localSheetId="1">#REF!</definedName>
    <definedName name="LAVAMANO_19x17_BCO">#REF!</definedName>
    <definedName name="Ligadora2fdas" localSheetId="1">#REF!</definedName>
    <definedName name="Ligadora2fdas">#REF!</definedName>
    <definedName name="LINEA_DE_CONDUC">#N/A</definedName>
    <definedName name="LLAVE_ANG_38" localSheetId="1">#REF!</definedName>
    <definedName name="LLAVE_ANG_38">#REF!</definedName>
    <definedName name="LLAVE_CHORRO" localSheetId="1">#REF!</definedName>
    <definedName name="LLAVE_CHORRO">#REF!</definedName>
    <definedName name="LLAVE_EMPOTRAR_CROMO_12" localSheetId="1">#REF!</definedName>
    <definedName name="LLAVE_EMPOTRAR_CROMO_12">#REF!</definedName>
    <definedName name="LLAVE_PASO_1" localSheetId="1">#REF!</definedName>
    <definedName name="LLAVE_PASO_1">#REF!</definedName>
    <definedName name="LLAVE_PASO_34" localSheetId="1">#REF!</definedName>
    <definedName name="LLAVE_PASO_34">#REF!</definedName>
    <definedName name="LLAVE_SENCILLA" localSheetId="1">#REF!</definedName>
    <definedName name="LLAVE_SENCILLA">#REF!</definedName>
    <definedName name="LLAVIN_PUERTA" localSheetId="1">#REF!</definedName>
    <definedName name="LLAVIN_PUERTA">#REF!</definedName>
    <definedName name="LLENADO_BLOQUES_20" localSheetId="1">#REF!</definedName>
    <definedName name="LLENADO_BLOQUES_20">#REF!</definedName>
    <definedName name="LLENADO_BLOQUES_40" localSheetId="1">#REF!</definedName>
    <definedName name="LLENADO_BLOQUES_40">#REF!</definedName>
    <definedName name="LLENADO_BLOQUES_60" localSheetId="1">#REF!</definedName>
    <definedName name="LLENADO_BLOQUES_60">#REF!</definedName>
    <definedName name="LLENADO_BLOQUES_80" localSheetId="1">#REF!</definedName>
    <definedName name="LLENADO_BLOQUES_80">#REF!</definedName>
    <definedName name="LOSA12" localSheetId="1">#REF!</definedName>
    <definedName name="LOSA12">#REF!</definedName>
    <definedName name="LOSA20" localSheetId="1">#REF!</definedName>
    <definedName name="LOSA20">#REF!</definedName>
    <definedName name="LOSA30" localSheetId="1">#REF!</definedName>
    <definedName name="LOSA30">#REF!</definedName>
    <definedName name="MA">[5]M.O.!$C$10</definedName>
    <definedName name="MACHETE" localSheetId="1">#REF!</definedName>
    <definedName name="MACHETE">#REF!</definedName>
    <definedName name="MACO" localSheetId="1">#REF!</definedName>
    <definedName name="MACO">#REF!</definedName>
    <definedName name="Madera_P2">[3]INSU!$D$132</definedName>
    <definedName name="maderabrutapino" localSheetId="1">#REF!</definedName>
    <definedName name="maderabrutapino">#REF!</definedName>
    <definedName name="Maestro" localSheetId="1">#REF!</definedName>
    <definedName name="Maestro">#REF!</definedName>
    <definedName name="MAESTROCARP" localSheetId="1">[8]INS!#REF!</definedName>
    <definedName name="MAESTROCARP">[8]INS!#REF!</definedName>
    <definedName name="MALLA_ABRAZ_1_12" localSheetId="1">#REF!</definedName>
    <definedName name="MALLA_ABRAZ_1_12">#REF!</definedName>
    <definedName name="MALLA_AL_GALVANIZADO" localSheetId="1">#REF!</definedName>
    <definedName name="MALLA_AL_GALVANIZADO">#REF!</definedName>
    <definedName name="MALLA_AL_PUAS" localSheetId="1">#REF!</definedName>
    <definedName name="MALLA_AL_PUAS">#REF!</definedName>
    <definedName name="MALLA_BARRA_TENZORA" localSheetId="1">#REF!</definedName>
    <definedName name="MALLA_BARRA_TENZORA">#REF!</definedName>
    <definedName name="MALLA_BOTE" localSheetId="1">#REF!</definedName>
    <definedName name="MALLA_BOTE">#REF!</definedName>
    <definedName name="MALLA_CARP_COLS" localSheetId="1">#REF!</definedName>
    <definedName name="MALLA_CARP_COLS">#REF!</definedName>
    <definedName name="MALLA_CICLONICA_6" localSheetId="1">#REF!</definedName>
    <definedName name="MALLA_CICLONICA_6">#REF!</definedName>
    <definedName name="MALLA_COLOC_6" localSheetId="1">#REF!</definedName>
    <definedName name="MALLA_COLOC_6">#REF!</definedName>
    <definedName name="MALLA_COPAFINAL_1_12" localSheetId="1">#REF!</definedName>
    <definedName name="MALLA_COPAFINAL_1_12">#REF!</definedName>
    <definedName name="MALLA_COPAFINAL_2" localSheetId="1">#REF!</definedName>
    <definedName name="MALLA_COPAFINAL_2">#REF!</definedName>
    <definedName name="MALLA_CORTE_ABR" localSheetId="1">#REF!</definedName>
    <definedName name="MALLA_CORTE_ABR">#REF!</definedName>
    <definedName name="Malla_Electrosoldada_10x10" localSheetId="1">#REF!</definedName>
    <definedName name="Malla_Electrosoldada_10x10">#REF!</definedName>
    <definedName name="MALLA_PALOMETA_DOBLE_1_12" localSheetId="1">#REF!</definedName>
    <definedName name="MALLA_PALOMETA_DOBLE_1_12">#REF!</definedName>
    <definedName name="MALLA_RELLENO" localSheetId="1">#REF!</definedName>
    <definedName name="MALLA_RELLENO">#REF!</definedName>
    <definedName name="MALLA_SEGUETA" localSheetId="1">#REF!</definedName>
    <definedName name="MALLA_SEGUETA">#REF!</definedName>
    <definedName name="MALLA_TERMINAL_1_14" localSheetId="1">#REF!</definedName>
    <definedName name="MALLA_TERMINAL_1_14">#REF!</definedName>
    <definedName name="MALLA_TUBOHG_1" localSheetId="1">#REF!</definedName>
    <definedName name="MALLA_TUBOHG_1">#REF!</definedName>
    <definedName name="MALLA_TUBOHG_1_12" localSheetId="1">#REF!</definedName>
    <definedName name="MALLA_TUBOHG_1_12">#REF!</definedName>
    <definedName name="MALLA_TUBOHG_1_14" localSheetId="1">#REF!</definedName>
    <definedName name="MALLA_TUBOHG_1_14">#REF!</definedName>
    <definedName name="MALLA_ZABALETA" localSheetId="1">#REF!</definedName>
    <definedName name="MALLA_ZABALETA">#REF!</definedName>
    <definedName name="MARCO_PUERTA_PINO" localSheetId="1">#REF!</definedName>
    <definedName name="MARCO_PUERTA_PINO">#REF!</definedName>
    <definedName name="MATERIAL_RELLENO" localSheetId="1">#REF!</definedName>
    <definedName name="MATERIAL_RELLENO">#REF!</definedName>
    <definedName name="MBA" localSheetId="1">#REF!</definedName>
    <definedName name="MBA">#REF!</definedName>
    <definedName name="MEXCLADORA_LAVAMANOS" localSheetId="1">#REF!</definedName>
    <definedName name="MEXCLADORA_LAVAMANOS">#REF!</definedName>
    <definedName name="MEZCLA_CAL_ARENA_PISOS" localSheetId="1">#REF!</definedName>
    <definedName name="MEZCLA_CAL_ARENA_PISOS">#REF!</definedName>
    <definedName name="MezclaAntillana" localSheetId="1">#REF!</definedName>
    <definedName name="MezclaAntillana">#REF!</definedName>
    <definedName name="mezclajuntabloque" localSheetId="1">#REF!</definedName>
    <definedName name="mezclajuntabloque">#REF!</definedName>
    <definedName name="MO_ACERA_FROTyVIOL" localSheetId="1">#REF!</definedName>
    <definedName name="MO_ACERA_FROTyVIOL">#REF!</definedName>
    <definedName name="MO_CANTOS" localSheetId="1">#REF!</definedName>
    <definedName name="MO_CANTOS">#REF!</definedName>
    <definedName name="MO_CARETEO" localSheetId="1">#REF!</definedName>
    <definedName name="MO_CARETEO">#REF!</definedName>
    <definedName name="MO_ColAcero_Dintel" localSheetId="1">#REF!</definedName>
    <definedName name="MO_ColAcero_Dintel">#REF!</definedName>
    <definedName name="MO_ColAcero_Escalera" localSheetId="1">#REF!</definedName>
    <definedName name="MO_ColAcero_Escalera">#REF!</definedName>
    <definedName name="MO_ColAcero_G60_QQ" localSheetId="1">#REF!</definedName>
    <definedName name="MO_ColAcero_G60_QQ">#REF!</definedName>
    <definedName name="MO_ColAcero_Malla" localSheetId="1">#REF!</definedName>
    <definedName name="MO_ColAcero_Malla">#REF!</definedName>
    <definedName name="MO_ColAcero_QQ">[3]MO!$B$612</definedName>
    <definedName name="MO_ColAcero_ZapMuros" localSheetId="1">#REF!</definedName>
    <definedName name="MO_ColAcero_ZapMuros">#REF!</definedName>
    <definedName name="MO_ColAcero14_Piso" localSheetId="1">#REF!</definedName>
    <definedName name="MO_ColAcero14_Piso">#REF!</definedName>
    <definedName name="MO_ColAcero38y12_Cols" localSheetId="1">#REF!</definedName>
    <definedName name="MO_ColAcero38y12_Cols">#REF!</definedName>
    <definedName name="MO_DEMOLICION_MURO_HA" localSheetId="1">#REF!</definedName>
    <definedName name="MO_DEMOLICION_MURO_HA">#REF!</definedName>
    <definedName name="MO_ELEC_BREAKERS" localSheetId="1">#REF!</definedName>
    <definedName name="MO_ELEC_BREAKERS">#REF!</definedName>
    <definedName name="MO_ELEC_INTERRUPTOR_3W" localSheetId="1">#REF!</definedName>
    <definedName name="MO_ELEC_INTERRUPTOR_3W">#REF!</definedName>
    <definedName name="MO_ELEC_INTERRUPTOR_4W" localSheetId="1">#REF!</definedName>
    <definedName name="MO_ELEC_INTERRUPTOR_4W">#REF!</definedName>
    <definedName name="MO_ELEC_INTERRUPTOR_DOB" localSheetId="1">#REF!</definedName>
    <definedName name="MO_ELEC_INTERRUPTOR_DOB">#REF!</definedName>
    <definedName name="MO_ELEC_INTERRUPTOR_SENC" localSheetId="1">#REF!</definedName>
    <definedName name="MO_ELEC_INTERRUPTOR_SENC">#REF!</definedName>
    <definedName name="MO_ELEC_INTERRUPTOR_TRIPLE" localSheetId="1">#REF!</definedName>
    <definedName name="MO_ELEC_INTERRUPTOR_TRIPLE">#REF!</definedName>
    <definedName name="MO_ELEC_LAMPARA_FLUORESCENTE" localSheetId="1">#REF!</definedName>
    <definedName name="MO_ELEC_LAMPARA_FLUORESCENTE">#REF!</definedName>
    <definedName name="MO_ELEC_LUZ_CENITAL" localSheetId="1">#REF!</definedName>
    <definedName name="MO_ELEC_LUZ_CENITAL">#REF!</definedName>
    <definedName name="MO_ELEC_PANEL_DIST" localSheetId="1">#REF!</definedName>
    <definedName name="MO_ELEC_PANEL_DIST">#REF!</definedName>
    <definedName name="MO_ELEC_TOMACORRIENTE_110" localSheetId="1">#REF!</definedName>
    <definedName name="MO_ELEC_TOMACORRIENTE_110">#REF!</definedName>
    <definedName name="MO_ELEC_TOMACORRIENTE_220" localSheetId="1">#REF!</definedName>
    <definedName name="MO_ELEC_TOMACORRIENTE_220">#REF!</definedName>
    <definedName name="MO_ENTABLILLADOS" localSheetId="1">#REF!</definedName>
    <definedName name="MO_ENTABLILLADOS">#REF!</definedName>
    <definedName name="MO_ESCALON_GRANITO" localSheetId="1">#REF!</definedName>
    <definedName name="MO_ESCALON_GRANITO">#REF!</definedName>
    <definedName name="MO_ESCALON_HUELLA_y_CONTRAHUELLA" localSheetId="1">#REF!</definedName>
    <definedName name="MO_ESCALON_HUELLA_y_CONTRAHUELLA">#REF!</definedName>
    <definedName name="MO_ESTRIAS" localSheetId="1">#REF!</definedName>
    <definedName name="MO_ESTRIAS">#REF!</definedName>
    <definedName name="MO_EXC_CALICHE_MANO_3M" localSheetId="1">#REF!</definedName>
    <definedName name="MO_EXC_CALICHE_MANO_3M">#REF!</definedName>
    <definedName name="MO_EXC_ROCA_BLANDA_MANO_3M" localSheetId="1">#REF!</definedName>
    <definedName name="MO_EXC_ROCA_BLANDA_MANO_3M">#REF!</definedName>
    <definedName name="MO_EXC_ROCA_COMP_3M" localSheetId="1">#REF!</definedName>
    <definedName name="MO_EXC_ROCA_COMP_3M">#REF!</definedName>
    <definedName name="MO_EXC_ROCA_MANO_3M" localSheetId="1">#REF!</definedName>
    <definedName name="MO_EXC_ROCA_MANO_3M">#REF!</definedName>
    <definedName name="MO_EXC_TIERRA_MANO_3M" localSheetId="1">#REF!</definedName>
    <definedName name="MO_EXC_TIERRA_MANO_3M">#REF!</definedName>
    <definedName name="MO_FINO_TECHO_HOR" localSheetId="1">#REF!</definedName>
    <definedName name="MO_FINO_TECHO_HOR">#REF!</definedName>
    <definedName name="MO_FRAGUACHE" localSheetId="1">#REF!</definedName>
    <definedName name="MO_FRAGUACHE">#REF!</definedName>
    <definedName name="MO_GOTEROS" localSheetId="1">#REF!</definedName>
    <definedName name="MO_GOTEROS">#REF!</definedName>
    <definedName name="MO_NATILLA" localSheetId="1">#REF!</definedName>
    <definedName name="MO_NATILLA">#REF!</definedName>
    <definedName name="MO_PAÑETE_COLs" localSheetId="1">#REF!</definedName>
    <definedName name="MO_PAÑETE_COLs">#REF!</definedName>
    <definedName name="MO_PAÑETE_EXT" localSheetId="1">#REF!</definedName>
    <definedName name="MO_PAÑETE_EXT">#REF!</definedName>
    <definedName name="MO_PAÑETE_INT" localSheetId="1">#REF!</definedName>
    <definedName name="MO_PAÑETE_INT">#REF!</definedName>
    <definedName name="MO_PAÑETE_PULIDO" localSheetId="1">#REF!</definedName>
    <definedName name="MO_PAÑETE_PULIDO">#REF!</definedName>
    <definedName name="MO_PAÑETE_RASGADO" localSheetId="1">#REF!</definedName>
    <definedName name="MO_PAÑETE_RASGADO">#REF!</definedName>
    <definedName name="MO_PAÑETE_TECHOSyVIGAS" localSheetId="1">#REF!</definedName>
    <definedName name="MO_PAÑETE_TECHOSyVIGAS">#REF!</definedName>
    <definedName name="MO_PERRILLA" localSheetId="1">#REF!</definedName>
    <definedName name="MO_PERRILLA">#REF!</definedName>
    <definedName name="MO_PIEDRA" localSheetId="1">#REF!</definedName>
    <definedName name="MO_PIEDRA">#REF!</definedName>
    <definedName name="MO_PINTURA" localSheetId="1">#REF!</definedName>
    <definedName name="MO_PINTURA">#REF!</definedName>
    <definedName name="MO_PISO_ADOQUIN" localSheetId="1">#REF!</definedName>
    <definedName name="MO_PISO_ADOQUIN">#REF!</definedName>
    <definedName name="MO_PISO_CementoPulido" localSheetId="1">#REF!</definedName>
    <definedName name="MO_PISO_CementoPulido">#REF!</definedName>
    <definedName name="MO_PISO_CERAMICA_15a20" localSheetId="1">#REF!</definedName>
    <definedName name="MO_PISO_CERAMICA_15a20">#REF!</definedName>
    <definedName name="MO_PISO_CERAMICA_15a20_BASE" localSheetId="1">#REF!</definedName>
    <definedName name="MO_PISO_CERAMICA_15a20_BASE">#REF!</definedName>
    <definedName name="MO_PISO_CERAMICA_30a40" localSheetId="1">#REF!</definedName>
    <definedName name="MO_PISO_CERAMICA_30a40">#REF!</definedName>
    <definedName name="MO_PISO_CERAMICA_30a40_BASE" localSheetId="1">#REF!</definedName>
    <definedName name="MO_PISO_CERAMICA_30a40_BASE">#REF!</definedName>
    <definedName name="MO_PISO_FROTA_VIOL" localSheetId="1">#REF!</definedName>
    <definedName name="MO_PISO_FROTA_VIOL">#REF!</definedName>
    <definedName name="MO_PISO_FROTADO" localSheetId="1">#REF!</definedName>
    <definedName name="MO_PISO_FROTADO">#REF!</definedName>
    <definedName name="MO_PISO_GRANITO_25" localSheetId="1">#REF!</definedName>
    <definedName name="MO_PISO_GRANITO_25">#REF!</definedName>
    <definedName name="MO_PISO_GRANITO_30" localSheetId="1">#REF!</definedName>
    <definedName name="MO_PISO_GRANITO_30">#REF!</definedName>
    <definedName name="MO_PISO_GRANITO_33" localSheetId="1">#REF!</definedName>
    <definedName name="MO_PISO_GRANITO_33">#REF!</definedName>
    <definedName name="MO_PISO_GRANITO_40" localSheetId="1">#REF!</definedName>
    <definedName name="MO_PISO_GRANITO_40">#REF!</definedName>
    <definedName name="MO_PISO_GRANITO_50" localSheetId="1">#REF!</definedName>
    <definedName name="MO_PISO_GRANITO_50">#REF!</definedName>
    <definedName name="MO_PISO_PULI_VIOL" localSheetId="1">#REF!</definedName>
    <definedName name="MO_PISO_PULI_VIOL">#REF!</definedName>
    <definedName name="MO_PISO_ZOCALO" localSheetId="1">#REF!</definedName>
    <definedName name="MO_PISO_ZOCALO">#REF!</definedName>
    <definedName name="MO_REPELLO" localSheetId="1">#REF!</definedName>
    <definedName name="MO_REPELLO">#REF!</definedName>
    <definedName name="MO_RESANE_FROTA" localSheetId="1">#REF!</definedName>
    <definedName name="MO_RESANE_FROTA">#REF!</definedName>
    <definedName name="MO_RESANE_GOMA" localSheetId="1">#REF!</definedName>
    <definedName name="MO_RESANE_GOMA">#REF!</definedName>
    <definedName name="MO_SUBIDA_BLOCK_4_1NIVEL" localSheetId="1">#REF!</definedName>
    <definedName name="MO_SUBIDA_BLOCK_4_1NIVEL">#REF!</definedName>
    <definedName name="MO_SUBIDA_BLOCK_6_1NIVEL" localSheetId="1">#REF!</definedName>
    <definedName name="MO_SUBIDA_BLOCK_6_1NIVEL">#REF!</definedName>
    <definedName name="MO_SUBIDA_BLOCK_8_1NIVEL" localSheetId="1">#REF!</definedName>
    <definedName name="MO_SUBIDA_BLOCK_8_1NIVEL">#REF!</definedName>
    <definedName name="MO_SUBIDA_CEMENTO_1NIVEL" localSheetId="1">#REF!</definedName>
    <definedName name="MO_SUBIDA_CEMENTO_1NIVEL">#REF!</definedName>
    <definedName name="MO_SUBIDA_MADERA_1NIVEL" localSheetId="1">#REF!</definedName>
    <definedName name="MO_SUBIDA_MADERA_1NIVEL">#REF!</definedName>
    <definedName name="MO_SUBIR_AGREGADO_1Nivel" localSheetId="1">#REF!</definedName>
    <definedName name="MO_SUBIR_AGREGADO_1Nivel">#REF!</definedName>
    <definedName name="MO_SubirAcero_1Niv" localSheetId="1">#REF!</definedName>
    <definedName name="MO_SubirAcero_1Niv">#REF!</definedName>
    <definedName name="MO_ZABALETA_PISO" localSheetId="1">#REF!</definedName>
    <definedName name="MO_ZABALETA_PISO">#REF!</definedName>
    <definedName name="MO_ZABALETA_TECHO" localSheetId="1">#REF!</definedName>
    <definedName name="MO_ZABALETA_TECHO">#REF!</definedName>
    <definedName name="moacero" localSheetId="1">#REF!</definedName>
    <definedName name="moacero">#REF!</definedName>
    <definedName name="moaceromalla" localSheetId="1">#REF!</definedName>
    <definedName name="moaceromalla">#REF!</definedName>
    <definedName name="moacerorampa" localSheetId="1">#REF!</definedName>
    <definedName name="moacerorampa">#REF!</definedName>
    <definedName name="MOLDE_ESTAMPADO" localSheetId="1">#REF!</definedName>
    <definedName name="MOLDE_ESTAMPADO">#REF!</definedName>
    <definedName name="MOPISOCERAMICA" localSheetId="1">[8]INS!#REF!</definedName>
    <definedName name="MOPISOCERAMICA">[8]INS!#REF!</definedName>
    <definedName name="MOTONIVELADORA" localSheetId="1">#REF!</definedName>
    <definedName name="MOTONIVELADORA">#REF!</definedName>
    <definedName name="MURO30" localSheetId="1">#REF!</definedName>
    <definedName name="MURO30">#REF!</definedName>
    <definedName name="MUROBOVEDA12A10X2AD" localSheetId="1">#REF!</definedName>
    <definedName name="MUROBOVEDA12A10X2AD">#REF!</definedName>
    <definedName name="NADA" localSheetId="1">[16]Insumos!#REF!</definedName>
    <definedName name="NADA">[16]Insumos!#REF!</definedName>
    <definedName name="NINGUNA" localSheetId="1">[16]Insumos!#REF!</definedName>
    <definedName name="NINGUNA">[16]Insumos!#REF!</definedName>
    <definedName name="NIPLE_ACERO_12x3" localSheetId="1">#REF!</definedName>
    <definedName name="NIPLE_ACERO_12x3">#REF!</definedName>
    <definedName name="NIPLE_ACERO_16x2" localSheetId="1">#REF!</definedName>
    <definedName name="NIPLE_ACERO_16x2">#REF!</definedName>
    <definedName name="NIPLE_ACERO_16x3" localSheetId="1">#REF!</definedName>
    <definedName name="NIPLE_ACERO_16x3">#REF!</definedName>
    <definedName name="NIPLE_ACERO_20x3" localSheetId="1">#REF!</definedName>
    <definedName name="NIPLE_ACERO_20x3">#REF!</definedName>
    <definedName name="NIPLE_ACERO_6x3" localSheetId="1">#REF!</definedName>
    <definedName name="NIPLE_ACERO_6x3">#REF!</definedName>
    <definedName name="NIPLE_ACERO_8x3" localSheetId="1">#REF!</definedName>
    <definedName name="NIPLE_ACERO_8x3">#REF!</definedName>
    <definedName name="NIPLE_ACERO_PLATILLADO_12x12" localSheetId="1">#REF!</definedName>
    <definedName name="NIPLE_ACERO_PLATILLADO_12x12">#REF!</definedName>
    <definedName name="NIPLE_ACERO_PLATILLADO_2x1" localSheetId="1">#REF!</definedName>
    <definedName name="NIPLE_ACERO_PLATILLADO_2x1">#REF!</definedName>
    <definedName name="NIPLE_ACERO_PLATILLADO_3x1" localSheetId="1">#REF!</definedName>
    <definedName name="NIPLE_ACERO_PLATILLADO_3x1">#REF!</definedName>
    <definedName name="NIPLE_ACERO_PLATILLADO_8x1" localSheetId="1">#REF!</definedName>
    <definedName name="NIPLE_ACERO_PLATILLADO_8x1">#REF!</definedName>
    <definedName name="NIPLE_CROMO_38x2_12" localSheetId="1">#REF!</definedName>
    <definedName name="NIPLE_CROMO_38x2_12">#REF!</definedName>
    <definedName name="NIPLE_HG_12x4" localSheetId="1">#REF!</definedName>
    <definedName name="NIPLE_HG_12x4">#REF!</definedName>
    <definedName name="NIPLE_HG_34x4" localSheetId="1">#REF!</definedName>
    <definedName name="NIPLE_HG_34x4">#REF!</definedName>
    <definedName name="OPERADOR_GREADER" localSheetId="1">#REF!</definedName>
    <definedName name="OPERADOR_GREADER">#REF!</definedName>
    <definedName name="OPERADOR_PALA" localSheetId="1">#REF!</definedName>
    <definedName name="OPERADOR_PALA">#REF!</definedName>
    <definedName name="OPERADOR_TRACTOR" localSheetId="1">#REF!</definedName>
    <definedName name="OPERADOR_TRACTOR">#REF!</definedName>
    <definedName name="Operario_1ra" localSheetId="1">#REF!</definedName>
    <definedName name="Operario_1ra">#REF!</definedName>
    <definedName name="Operario_2da" localSheetId="1">#REF!</definedName>
    <definedName name="Operario_2da">#REF!</definedName>
    <definedName name="Operario_3ra" localSheetId="1">#REF!</definedName>
    <definedName name="Operario_3ra">#REF!</definedName>
    <definedName name="OPERARIOPRIMERA">[14]SALARIOS!$C$10</definedName>
    <definedName name="OXIGENO_CIL" localSheetId="1">#REF!</definedName>
    <definedName name="OXIGENO_CIL">#REF!</definedName>
    <definedName name="p">[17]peso!#REF!</definedName>
    <definedName name="P1XE" localSheetId="1">#REF!</definedName>
    <definedName name="P1XE">#REF!</definedName>
    <definedName name="P1XT" localSheetId="1">#REF!</definedName>
    <definedName name="P1XT">#REF!</definedName>
    <definedName name="P1YE" localSheetId="1">#REF!</definedName>
    <definedName name="P1YE">#REF!</definedName>
    <definedName name="P1YT" localSheetId="1">#REF!</definedName>
    <definedName name="P1YT">#REF!</definedName>
    <definedName name="P2XE" localSheetId="1">#REF!</definedName>
    <definedName name="P2XE">#REF!</definedName>
    <definedName name="P2XT" localSheetId="1">#REF!</definedName>
    <definedName name="P2XT">#REF!</definedName>
    <definedName name="P2YE" localSheetId="1">#REF!</definedName>
    <definedName name="P2YE">#REF!</definedName>
    <definedName name="P3XE" localSheetId="1">#REF!</definedName>
    <definedName name="P3XE">#REF!</definedName>
    <definedName name="P3XT" localSheetId="1">#REF!</definedName>
    <definedName name="P3XT">#REF!</definedName>
    <definedName name="P3YE" localSheetId="1">#REF!</definedName>
    <definedName name="P3YE">#REF!</definedName>
    <definedName name="P3YT" localSheetId="1">#REF!</definedName>
    <definedName name="P3YT">#REF!</definedName>
    <definedName name="P4XE" localSheetId="1">#REF!</definedName>
    <definedName name="P4XE">#REF!</definedName>
    <definedName name="P4XT" localSheetId="1">#REF!</definedName>
    <definedName name="P4XT">#REF!</definedName>
    <definedName name="P4YE" localSheetId="1">#REF!</definedName>
    <definedName name="P4YE">#REF!</definedName>
    <definedName name="P4YT" localSheetId="1">#REF!</definedName>
    <definedName name="P4YT">#REF!</definedName>
    <definedName name="P5XE" localSheetId="1">#REF!</definedName>
    <definedName name="P5XE">#REF!</definedName>
    <definedName name="P5YE" localSheetId="1">#REF!</definedName>
    <definedName name="P5YE">#REF!</definedName>
    <definedName name="P5YT" localSheetId="1">#REF!</definedName>
    <definedName name="P5YT">#REF!</definedName>
    <definedName name="P6XE" localSheetId="1">#REF!</definedName>
    <definedName name="P6XE">#REF!</definedName>
    <definedName name="P6XT" localSheetId="1">#REF!</definedName>
    <definedName name="P6XT">#REF!</definedName>
    <definedName name="P6YE" localSheetId="1">#REF!</definedName>
    <definedName name="P6YE">#REF!</definedName>
    <definedName name="P6YT" localSheetId="1">#REF!</definedName>
    <definedName name="P6YT">#REF!</definedName>
    <definedName name="P7XE" localSheetId="1">#REF!</definedName>
    <definedName name="P7XE">#REF!</definedName>
    <definedName name="P7YE" localSheetId="1">#REF!</definedName>
    <definedName name="P7YE">#REF!</definedName>
    <definedName name="P7YT" localSheetId="1">#REF!</definedName>
    <definedName name="P7YT">#REF!</definedName>
    <definedName name="PALA" localSheetId="1">#REF!</definedName>
    <definedName name="PALA">#REF!</definedName>
    <definedName name="PALA_950" localSheetId="1">#REF!</definedName>
    <definedName name="PALA_950">#REF!</definedName>
    <definedName name="PANEL_DIST_24C" localSheetId="1">#REF!</definedName>
    <definedName name="PANEL_DIST_24C">#REF!</definedName>
    <definedName name="PANEL_DIST_32C" localSheetId="1">#REF!</definedName>
    <definedName name="PANEL_DIST_32C">#REF!</definedName>
    <definedName name="PANEL_DIST_4a8C" localSheetId="1">#REF!</definedName>
    <definedName name="PANEL_DIST_4a8C">#REF!</definedName>
    <definedName name="PanelDist_6a12_Circ_125a" localSheetId="1">#REF!</definedName>
    <definedName name="PanelDist_6a12_Circ_125a">#REF!</definedName>
    <definedName name="PARARRAYOS_9KV" localSheetId="1">#REF!</definedName>
    <definedName name="PARARRAYOS_9KV">#REF!</definedName>
    <definedName name="PEON" localSheetId="1">#REF!</definedName>
    <definedName name="PEON">#REF!</definedName>
    <definedName name="Peon_1">[3]MO!$B$11</definedName>
    <definedName name="Peon_Colchas">[10]MO!$B$11</definedName>
    <definedName name="PEONCARP">[8]INS!#REF!</definedName>
    <definedName name="PERFIL_CUADRADO_34">[10]INSU!$B$91</definedName>
    <definedName name="Pernos" localSheetId="1">#REF!</definedName>
    <definedName name="Pernos">#REF!</definedName>
    <definedName name="PICO" localSheetId="1">#REF!</definedName>
    <definedName name="PICO">#REF!</definedName>
    <definedName name="PIEDRA" localSheetId="1">#REF!</definedName>
    <definedName name="PIEDRA">#REF!</definedName>
    <definedName name="PIEDRA_GAVIONES" localSheetId="1">#REF!</definedName>
    <definedName name="PIEDRA_GAVIONES">#REF!</definedName>
    <definedName name="PINO">[14]INS!$D$770</definedName>
    <definedName name="PINTURA_ACR_COLOR_PREPARADO" localSheetId="1">#REF!</definedName>
    <definedName name="PINTURA_ACR_COLOR_PREPARADO">#REF!</definedName>
    <definedName name="PINTURA_ACR_EXT" localSheetId="1">#REF!</definedName>
    <definedName name="PINTURA_ACR_EXT">#REF!</definedName>
    <definedName name="PINTURA_ACR_INT" localSheetId="1">#REF!</definedName>
    <definedName name="PINTURA_ACR_INT">#REF!</definedName>
    <definedName name="PINTURA_BASE" localSheetId="1">#REF!</definedName>
    <definedName name="PINTURA_BASE">#REF!</definedName>
    <definedName name="PINTURA_MANTENIMIENTO" localSheetId="1">#REF!</definedName>
    <definedName name="PINTURA_MANTENIMIENTO">#REF!</definedName>
    <definedName name="PINTURA_OXIDO_ROJO" localSheetId="1">#REF!</definedName>
    <definedName name="PINTURA_OXIDO_ROJO">#REF!</definedName>
    <definedName name="PISO_GRANITO_FONDO_BCO">[10]INSU!$B$103</definedName>
    <definedName name="PLANTA_ELECTRICA" localSheetId="1">#REF!</definedName>
    <definedName name="PLANTA_ELECTRICA">#REF!</definedName>
    <definedName name="PLASTICO">[10]INSU!$B$90</definedName>
    <definedName name="PLIGADORA2">[8]INS!$D$563</definedName>
    <definedName name="PLOMERO">[8]INS!#REF!</definedName>
    <definedName name="PLOMERO_SOLDADOR" localSheetId="1">#REF!</definedName>
    <definedName name="PLOMERO_SOLDADOR">#REF!</definedName>
    <definedName name="PLOMEROAYUDANTE">[8]INS!#REF!</definedName>
    <definedName name="PLOMEROOFICIAL">[8]INS!#REF!</definedName>
    <definedName name="PLYWOOD_34_2CARAS">[3]INSU!$D$133</definedName>
    <definedName name="pmadera2162">[12]precios!#REF!</definedName>
    <definedName name="po">[18]PRESUPUESTO!$O$9:$O$236</definedName>
    <definedName name="POSTE_HA_25_CUAD" localSheetId="1">#REF!</definedName>
    <definedName name="POSTE_HA_25_CUAD">#REF!</definedName>
    <definedName name="POSTE_HA_30_CUAD" localSheetId="1">#REF!</definedName>
    <definedName name="POSTE_HA_30_CUAD">#REF!</definedName>
    <definedName name="POSTE_HA_35_CUAD" localSheetId="1">#REF!</definedName>
    <definedName name="POSTE_HA_35_CUAD">#REF!</definedName>
    <definedName name="POSTE_HA_40_CUAD" localSheetId="1">#REF!</definedName>
    <definedName name="POSTE_HA_40_CUAD">#REF!</definedName>
    <definedName name="PREC._UNITARIO">#N/A</definedName>
    <definedName name="precios">[19]Precios!$A$4:$F$1576</definedName>
    <definedName name="PRESUPUESTO">#N/A</definedName>
    <definedName name="PUERTA_PANEL_PINO">#REF!</definedName>
    <definedName name="PUERTA_PLYWOOD" localSheetId="1">#REF!</definedName>
    <definedName name="PUERTA_PLYWOOD">#REF!</definedName>
    <definedName name="PULIDO_Y_BRILLADO_ESCALON" localSheetId="1">#REF!</definedName>
    <definedName name="PULIDO_Y_BRILLADO_ESCALON">#REF!</definedName>
    <definedName name="PULIDOyBRILLADO_TC" localSheetId="1">#REF!</definedName>
    <definedName name="PULIDOyBRILLADO_TC">#REF!</definedName>
    <definedName name="PWINCHE2000K">[8]INS!$D$568</definedName>
    <definedName name="Q" localSheetId="1">#REF!</definedName>
    <definedName name="Q">#REF!</definedName>
    <definedName name="qw">[18]PRESUPUESTO!$M$10:$AH$731</definedName>
    <definedName name="qwe">[20]INSU!$D$133</definedName>
    <definedName name="RASTRILLO" localSheetId="1">#REF!</definedName>
    <definedName name="RASTRILLO">#REF!</definedName>
    <definedName name="REDUCCION_BUSHING_HG_12x38" localSheetId="1">#REF!</definedName>
    <definedName name="REDUCCION_BUSHING_HG_12x38">#REF!</definedName>
    <definedName name="REDUCCION_PVC_34a12" localSheetId="1">#REF!</definedName>
    <definedName name="REDUCCION_PVC_34a12">#REF!</definedName>
    <definedName name="REDUCCION_PVC_DREN_4x2" localSheetId="1">#REF!</definedName>
    <definedName name="REDUCCION_PVC_DREN_4x2">#REF!</definedName>
    <definedName name="REFERENCIA">[21]COF!$G$733</definedName>
    <definedName name="REGISTRO_ELEC_6x6" localSheetId="1">#REF!</definedName>
    <definedName name="REGISTRO_ELEC_6x6">#REF!</definedName>
    <definedName name="REGLA_PAÑETE" localSheetId="1">#REF!</definedName>
    <definedName name="REGLA_PAÑETE">#REF!</definedName>
    <definedName name="REJILLA_PISO" localSheetId="1">#REF!</definedName>
    <definedName name="REJILLA_PISO">#REF!</definedName>
    <definedName name="REJILLAS_1x1" localSheetId="1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1">#REF!</definedName>
    <definedName name="RETRO_320">#REF!</definedName>
    <definedName name="REVESTIMIENTO_CERAMICA_20x20" localSheetId="1">#REF!</definedName>
    <definedName name="REVESTIMIENTO_CERAMICA_20x20">#REF!</definedName>
    <definedName name="RODILLO_CAT_815" localSheetId="1">#REF!</definedName>
    <definedName name="RODILLO_CAT_815">#REF!</definedName>
    <definedName name="ROSETA" localSheetId="1">#REF!</definedName>
    <definedName name="ROSETA">#REF!</definedName>
    <definedName name="SALARIO" localSheetId="1">#REF!</definedName>
    <definedName name="SALARIO">#REF!</definedName>
    <definedName name="SALIDA">#N/A</definedName>
    <definedName name="SDSDFSDFSDF" localSheetId="1">#REF!</definedName>
    <definedName name="SDSDFSDFSDF">#REF!</definedName>
    <definedName name="SEGUETA" localSheetId="1">#REF!</definedName>
    <definedName name="SEGUETA">#REF!</definedName>
    <definedName name="SIERRA_ELECTRICA" localSheetId="1">#REF!</definedName>
    <definedName name="SIERRA_ELECTRICA">#REF!</definedName>
    <definedName name="SIFON_PVC_1_12" localSheetId="1">#REF!</definedName>
    <definedName name="SIFON_PVC_1_12">#REF!</definedName>
    <definedName name="SIFON_PVC_1_14" localSheetId="1">#REF!</definedName>
    <definedName name="SIFON_PVC_1_14">#REF!</definedName>
    <definedName name="SIFON_PVC_2" localSheetId="1">#REF!</definedName>
    <definedName name="SIFON_PVC_2">#REF!</definedName>
    <definedName name="SIFON_PVC_4" localSheetId="1">#REF!</definedName>
    <definedName name="SIFON_PVC_4">#REF!</definedName>
    <definedName name="SILICONE" localSheetId="1">#REF!</definedName>
    <definedName name="SILICONE">#REF!</definedName>
    <definedName name="SOLDADORA" localSheetId="1">#REF!</definedName>
    <definedName name="SOLDADORA">#REF!</definedName>
    <definedName name="spm" localSheetId="1">#REF!</definedName>
    <definedName name="spm">#REF!</definedName>
    <definedName name="SS">[6]M.O.!$C$12</definedName>
    <definedName name="SUB_TOTAL" localSheetId="1">#REF!</definedName>
    <definedName name="SUB_TOTAL">#REF!</definedName>
    <definedName name="TANQUE_55Gls" localSheetId="1">#REF!</definedName>
    <definedName name="TANQUE_55Gls">#REF!</definedName>
    <definedName name="TAPA_ALUMINIO_1x1" localSheetId="1">#REF!</definedName>
    <definedName name="TAPA_ALUMINIO_1x1">#REF!</definedName>
    <definedName name="TAPA_REGISTRO_HF" localSheetId="1">#REF!</definedName>
    <definedName name="TAPA_REGISTRO_HF">#REF!</definedName>
    <definedName name="TAPA_REGISTRO_HF_LIVIANA" localSheetId="1">#REF!</definedName>
    <definedName name="TAPA_REGISTRO_HF_LIVIANA">#REF!</definedName>
    <definedName name="TAPE_3M" localSheetId="1">#REF!</definedName>
    <definedName name="TAPE_3M">#REF!</definedName>
    <definedName name="TC" localSheetId="1">#REF!</definedName>
    <definedName name="TC">#REF!</definedName>
    <definedName name="TEE_ACERO_12x8" localSheetId="1">#REF!</definedName>
    <definedName name="TEE_ACERO_12x8">#REF!</definedName>
    <definedName name="TEE_ACERO_16x12" localSheetId="1">#REF!</definedName>
    <definedName name="TEE_ACERO_16x12">#REF!</definedName>
    <definedName name="TEE_ACERO_16x16" localSheetId="1">#REF!</definedName>
    <definedName name="TEE_ACERO_16x16">#REF!</definedName>
    <definedName name="TEE_ACERO_16x6" localSheetId="1">#REF!</definedName>
    <definedName name="TEE_ACERO_16x6">#REF!</definedName>
    <definedName name="TEE_ACERO_16x8" localSheetId="1">#REF!</definedName>
    <definedName name="TEE_ACERO_16x8">#REF!</definedName>
    <definedName name="TEE_ACERO_20x16" localSheetId="1">#REF!</definedName>
    <definedName name="TEE_ACERO_20x16">#REF!</definedName>
    <definedName name="TEE_CPVC_12" localSheetId="1">#REF!</definedName>
    <definedName name="TEE_CPVC_12">#REF!</definedName>
    <definedName name="TEE_HG_1" localSheetId="1">#REF!</definedName>
    <definedName name="TEE_HG_1">#REF!</definedName>
    <definedName name="TEE_HG_1_12" localSheetId="1">#REF!</definedName>
    <definedName name="TEE_HG_1_12">#REF!</definedName>
    <definedName name="TEE_HG_12" localSheetId="1">#REF!</definedName>
    <definedName name="TEE_HG_12">#REF!</definedName>
    <definedName name="TEE_HG_34" localSheetId="1">#REF!</definedName>
    <definedName name="TEE_HG_34">#REF!</definedName>
    <definedName name="TEE_PVC_PRES_1" localSheetId="1">#REF!</definedName>
    <definedName name="TEE_PVC_PRES_1">#REF!</definedName>
    <definedName name="TEE_PVC_PRES_12" localSheetId="1">#REF!</definedName>
    <definedName name="TEE_PVC_PRES_12">#REF!</definedName>
    <definedName name="TEE_PVC_PRES_34" localSheetId="1">#REF!</definedName>
    <definedName name="TEE_PVC_PRES_34">#REF!</definedName>
    <definedName name="TEFLON" localSheetId="1">#REF!</definedName>
    <definedName name="TEFLON">#REF!</definedName>
    <definedName name="THINNER" localSheetId="1">#REF!</definedName>
    <definedName name="THINNER">#REF!</definedName>
    <definedName name="_xlnm.Print_Titles">#N/A</definedName>
    <definedName name="Tolas">#REF!</definedName>
    <definedName name="TOMACORRIENTE_110V" localSheetId="1">#REF!</definedName>
    <definedName name="TOMACORRIENTE_110V">#REF!</definedName>
    <definedName name="TOMACORRIENTE_220V_SENC" localSheetId="1">#REF!</definedName>
    <definedName name="TOMACORRIENTE_220V_SENC">#REF!</definedName>
    <definedName name="TOMACORRIENTE_30a" localSheetId="1">#REF!</definedName>
    <definedName name="TOMACORRIENTE_30a">#REF!</definedName>
    <definedName name="Topografo" localSheetId="1">#REF!</definedName>
    <definedName name="Topografo">#REF!</definedName>
    <definedName name="TORNILLOS" localSheetId="1">#REF!</definedName>
    <definedName name="TORNILLOS">#REF!</definedName>
    <definedName name="TORNILLOS_INODORO" localSheetId="1">#REF!</definedName>
    <definedName name="TORNILLOS_INODORO">#REF!</definedName>
    <definedName name="TRACTOR_D8K" localSheetId="1">#REF!</definedName>
    <definedName name="TRACTOR_D8K">#REF!</definedName>
    <definedName name="TRANSFER_MANUAL_150_3AMPS" localSheetId="1">#REF!</definedName>
    <definedName name="TRANSFER_MANUAL_150_3AMPS">#REF!</definedName>
    <definedName name="TRANSFER_MANUAL_800_3AMPS" localSheetId="1">#REF!</definedName>
    <definedName name="TRANSFER_MANUAL_800_3AMPS">#REF!</definedName>
    <definedName name="TRANSFORMADOR_100KVA_240_480_POSTE" localSheetId="1">#REF!</definedName>
    <definedName name="TRANSFORMADOR_100KVA_240_480_POSTE">#REF!</definedName>
    <definedName name="TRANSFORMADOR_15KVA_120_240_POSTE" localSheetId="1">#REF!</definedName>
    <definedName name="TRANSFORMADOR_15KVA_120_240_POSTE">#REF!</definedName>
    <definedName name="TRANSFORMADOR_25KVA_240_480_POSTE" localSheetId="1">#REF!</definedName>
    <definedName name="TRANSFORMADOR_25KVA_240_480_POSTE">#REF!</definedName>
    <definedName name="Trompo" localSheetId="1">#REF!</definedName>
    <definedName name="Trompo">#REF!</definedName>
    <definedName name="TUBO_ACERO_16" localSheetId="1">#REF!</definedName>
    <definedName name="TUBO_ACERO_16">#REF!</definedName>
    <definedName name="TUBO_ACERO_20" localSheetId="1">#REF!</definedName>
    <definedName name="TUBO_ACERO_20">#REF!</definedName>
    <definedName name="TUBO_ACERO_20_e14" localSheetId="1">#REF!</definedName>
    <definedName name="TUBO_ACERO_20_e14">#REF!</definedName>
    <definedName name="TUBO_ACERO_3" localSheetId="1">#REF!</definedName>
    <definedName name="TUBO_ACERO_3">#REF!</definedName>
    <definedName name="TUBO_ACERO_4" localSheetId="1">#REF!</definedName>
    <definedName name="TUBO_ACERO_4">#REF!</definedName>
    <definedName name="TUBO_ACERO_6" localSheetId="1">#REF!</definedName>
    <definedName name="TUBO_ACERO_6">#REF!</definedName>
    <definedName name="TUBO_ACERO_8" localSheetId="1">#REF!</definedName>
    <definedName name="TUBO_ACERO_8">#REF!</definedName>
    <definedName name="TUBO_CPVC_12" localSheetId="1">#REF!</definedName>
    <definedName name="TUBO_CPVC_12">#REF!</definedName>
    <definedName name="TUBO_FLEXIBLE_INODORO_C_TUERCA" localSheetId="1">#REF!</definedName>
    <definedName name="TUBO_FLEXIBLE_INODORO_C_TUERCA">#REF!</definedName>
    <definedName name="TUBO_HA_36" localSheetId="1">#REF!</definedName>
    <definedName name="TUBO_HA_36">#REF!</definedName>
    <definedName name="TUBO_HG_1" localSheetId="1">#REF!</definedName>
    <definedName name="TUBO_HG_1">#REF!</definedName>
    <definedName name="TUBO_HG_1_12" localSheetId="1">#REF!</definedName>
    <definedName name="TUBO_HG_1_12">#REF!</definedName>
    <definedName name="TUBO_HG_12" localSheetId="1">#REF!</definedName>
    <definedName name="TUBO_HG_12">#REF!</definedName>
    <definedName name="TUBO_HG_34" localSheetId="1">#REF!</definedName>
    <definedName name="TUBO_HG_34">#REF!</definedName>
    <definedName name="TUBO_PVC_DRENAJE_1_12" localSheetId="1">#REF!</definedName>
    <definedName name="TUBO_PVC_DRENAJE_1_12">#REF!</definedName>
    <definedName name="TUBO_PVC_SCH40_12" localSheetId="1">#REF!</definedName>
    <definedName name="TUBO_PVC_SCH40_12">#REF!</definedName>
    <definedName name="TUBO_PVC_SCH40_34" localSheetId="1">#REF!</definedName>
    <definedName name="TUBO_PVC_SCH40_34">#REF!</definedName>
    <definedName name="TUBO_PVC_SDR21_2" localSheetId="1">#REF!</definedName>
    <definedName name="TUBO_PVC_SDR21_2">#REF!</definedName>
    <definedName name="TUBO_PVC_SDR21_JG_16" localSheetId="1">#REF!</definedName>
    <definedName name="TUBO_PVC_SDR21_JG_16">#REF!</definedName>
    <definedName name="TUBO_PVC_SDR21_JG_6" localSheetId="1">#REF!</definedName>
    <definedName name="TUBO_PVC_SDR21_JG_6">#REF!</definedName>
    <definedName name="TUBO_PVC_SDR21_JG_8" localSheetId="1">#REF!</definedName>
    <definedName name="TUBO_PVC_SDR21_JG_8">#REF!</definedName>
    <definedName name="TUBO_PVC_SDR26_12" localSheetId="1">#REF!</definedName>
    <definedName name="TUBO_PVC_SDR26_12">#REF!</definedName>
    <definedName name="TUBO_PVC_SDR26_2" localSheetId="1">#REF!</definedName>
    <definedName name="TUBO_PVC_SDR26_2">#REF!</definedName>
    <definedName name="TUBO_PVC_SDR26_34" localSheetId="1">#REF!</definedName>
    <definedName name="TUBO_PVC_SDR26_34">#REF!</definedName>
    <definedName name="TUBO_PVC_SDR26_JG_16" localSheetId="1">#REF!</definedName>
    <definedName name="TUBO_PVC_SDR26_JG_16">#REF!</definedName>
    <definedName name="TUBO_PVC_SDR26_JG_3" localSheetId="1">#REF!</definedName>
    <definedName name="TUBO_PVC_SDR26_JG_3">#REF!</definedName>
    <definedName name="TUBO_PVC_SDR26_JG_4" localSheetId="1">#REF!</definedName>
    <definedName name="TUBO_PVC_SDR26_JG_4">#REF!</definedName>
    <definedName name="TUBO_PVC_SDR26_JG_6" localSheetId="1">#REF!</definedName>
    <definedName name="TUBO_PVC_SDR26_JG_6">#REF!</definedName>
    <definedName name="TUBO_PVC_SDR26_JG_8" localSheetId="1">#REF!</definedName>
    <definedName name="TUBO_PVC_SDR26_JG_8">#REF!</definedName>
    <definedName name="TUBO_PVC_SDR325_JG_16" localSheetId="1">#REF!</definedName>
    <definedName name="TUBO_PVC_SDR325_JG_16">#REF!</definedName>
    <definedName name="TUBO_PVC_SDR325_JG_20" localSheetId="1">#REF!</definedName>
    <definedName name="TUBO_PVC_SDR325_JG_20">#REF!</definedName>
    <definedName name="TUBO_PVC_SDR325_JG_8" localSheetId="1">#REF!</definedName>
    <definedName name="TUBO_PVC_SDR325_JG_8">#REF!</definedName>
    <definedName name="TUBO_PVC_SDR41_2" localSheetId="1">#REF!</definedName>
    <definedName name="TUBO_PVC_SDR41_2">#REF!</definedName>
    <definedName name="TUBO_PVC_SDR41_3" localSheetId="1">#REF!</definedName>
    <definedName name="TUBO_PVC_SDR41_3">#REF!</definedName>
    <definedName name="TUBO_PVC_SDR41_4" localSheetId="1">#REF!</definedName>
    <definedName name="TUBO_PVC_SDR41_4">#REF!</definedName>
    <definedName name="TYPE_3M" localSheetId="1">#REF!</definedName>
    <definedName name="TYPE_3M">#REF!</definedName>
    <definedName name="UND">#N/A</definedName>
    <definedName name="UNION_HG_1" localSheetId="1">#REF!</definedName>
    <definedName name="UNION_HG_1">#REF!</definedName>
    <definedName name="UNION_HG_12" localSheetId="1">#REF!</definedName>
    <definedName name="UNION_HG_12">#REF!</definedName>
    <definedName name="UNION_HG_34" localSheetId="1">#REF!</definedName>
    <definedName name="UNION_HG_34">#REF!</definedName>
    <definedName name="UNION_PVC_PRES_12" localSheetId="1">#REF!</definedName>
    <definedName name="UNION_PVC_PRES_12">#REF!</definedName>
    <definedName name="UNION_PVC_PRES_34" localSheetId="1">#REF!</definedName>
    <definedName name="UNION_PVC_PRES_34">#REF!</definedName>
    <definedName name="vaciadohormigonindustrial" localSheetId="1">#REF!</definedName>
    <definedName name="vaciadohormigonindustrial">#REF!</definedName>
    <definedName name="vaciadozapata" localSheetId="1">#REF!</definedName>
    <definedName name="vaciadozapata">#REF!</definedName>
    <definedName name="VALVULA_AIRE_1_HF_ROSCADA" localSheetId="1">#REF!</definedName>
    <definedName name="VALVULA_AIRE_1_HF_ROSCADA">#REF!</definedName>
    <definedName name="VALVULA_AIRE_3_HF_ROSCADA" localSheetId="1">#REF!</definedName>
    <definedName name="VALVULA_AIRE_3_HF_ROSCADA">#REF!</definedName>
    <definedName name="VALVULA_AIRE_34_HF_ROSCADA" localSheetId="1">#REF!</definedName>
    <definedName name="VALVULA_AIRE_34_HF_ROSCADA">#REF!</definedName>
    <definedName name="VALVULA_COMP_12_HF_PLATILLADA" localSheetId="1">#REF!</definedName>
    <definedName name="VALVULA_COMP_12_HF_PLATILLADA">#REF!</definedName>
    <definedName name="VALVULA_COMP_16_HF_PLATILLADA" localSheetId="1">#REF!</definedName>
    <definedName name="VALVULA_COMP_16_HF_PLATILLADA">#REF!</definedName>
    <definedName name="VALVULA_COMP_2_12_HF_ROSCADA" localSheetId="1">#REF!</definedName>
    <definedName name="VALVULA_COMP_2_12_HF_ROSCADA">#REF!</definedName>
    <definedName name="VALVULA_COMP_2_HF_ROSCADA" localSheetId="1">#REF!</definedName>
    <definedName name="VALVULA_COMP_2_HF_ROSCADA">#REF!</definedName>
    <definedName name="VALVULA_COMP_20_HF_PLATILLADA" localSheetId="1">#REF!</definedName>
    <definedName name="VALVULA_COMP_20_HF_PLATILLADA">#REF!</definedName>
    <definedName name="VALVULA_COMP_3_HF_ROSCADA" localSheetId="1">#REF!</definedName>
    <definedName name="VALVULA_COMP_3_HF_ROSCADA">#REF!</definedName>
    <definedName name="VALVULA_COMP_4_HF_PLATILLADA" localSheetId="1">#REF!</definedName>
    <definedName name="VALVULA_COMP_4_HF_PLATILLADA">#REF!</definedName>
    <definedName name="VALVULA_COMP_4_HF_ROSCADA" localSheetId="1">#REF!</definedName>
    <definedName name="VALVULA_COMP_4_HF_ROSCADA">#REF!</definedName>
    <definedName name="VALVULA_COMP_6_HF_PLATILLADA" localSheetId="1">#REF!</definedName>
    <definedName name="VALVULA_COMP_6_HF_PLATILLADA">#REF!</definedName>
    <definedName name="VALVULA_COMP_8_HF_PLATILLADA" localSheetId="1">#REF!</definedName>
    <definedName name="VALVULA_COMP_8_HF_PLATILLADA">#REF!</definedName>
    <definedName name="VARILLA_BLOQUES_20" localSheetId="1">#REF!</definedName>
    <definedName name="VARILLA_BLOQUES_20">#REF!</definedName>
    <definedName name="VARILLA_BLOQUES_40" localSheetId="1">#REF!</definedName>
    <definedName name="VARILLA_BLOQUES_40">#REF!</definedName>
    <definedName name="VARILLA_BLOQUES_60" localSheetId="1">#REF!</definedName>
    <definedName name="VARILLA_BLOQUES_60">#REF!</definedName>
    <definedName name="VARILLA_BLOQUES_80" localSheetId="1">#REF!</definedName>
    <definedName name="VARILLA_BLOQUES_80">#REF!</definedName>
    <definedName name="VCOLGANTE1590" localSheetId="1">#REF!</definedName>
    <definedName name="VCOLGANTE1590">#REF!</definedName>
    <definedName name="VIBRADO" localSheetId="1">#REF!</definedName>
    <definedName name="VIBRADO">#REF!</definedName>
    <definedName name="VIGASHP" localSheetId="1">#REF!</definedName>
    <definedName name="VIGASHP">#REF!</definedName>
    <definedName name="VIOLINADO" localSheetId="1">#REF!</definedName>
    <definedName name="VIOLINADO">#REF!</definedName>
    <definedName name="VUELO10" localSheetId="1">#REF!</definedName>
    <definedName name="VUELO10">#REF!</definedName>
    <definedName name="Winche" localSheetId="1">#REF!</definedName>
    <definedName name="Winche">#REF!</definedName>
    <definedName name="YEE_PVC_DREN_2" localSheetId="1">#REF!</definedName>
    <definedName name="YEE_PVC_DREN_2">#REF!</definedName>
    <definedName name="YEE_PVC_DREN_3" localSheetId="1">#REF!</definedName>
    <definedName name="YEE_PVC_DREN_3">#REF!</definedName>
    <definedName name="YEE_PVC_DREN_4" localSheetId="1">#REF!</definedName>
    <definedName name="YEE_PVC_DREN_4">#REF!</definedName>
    <definedName name="YEE_PVC_DREN_4x2" localSheetId="1">#REF!</definedName>
    <definedName name="YEE_PVC_DREN_4x2">#REF!</definedName>
    <definedName name="ZINC_CAL26_3x6" localSheetId="1">#REF!</definedName>
    <definedName name="ZINC_CAL26_3x6">#REF!</definedName>
    <definedName name="ZOCALO_8x34" localSheetId="1">#REF!</definedName>
    <definedName name="ZOCALO_8x34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4" i="22" l="1"/>
  <c r="C614" i="22"/>
  <c r="E614" i="22" s="1"/>
  <c r="D610" i="22"/>
  <c r="C610" i="22"/>
  <c r="E610" i="22" s="1"/>
  <c r="H601" i="22"/>
  <c r="G601" i="22"/>
  <c r="H600" i="22"/>
  <c r="H602" i="22" s="1"/>
  <c r="H596" i="22" s="1"/>
  <c r="G600" i="22"/>
  <c r="G602" i="22" s="1"/>
  <c r="A596" i="22"/>
  <c r="H588" i="22"/>
  <c r="G588" i="22"/>
  <c r="G586" i="22"/>
  <c r="F586" i="22"/>
  <c r="H586" i="22" s="1"/>
  <c r="H585" i="22"/>
  <c r="G585" i="22"/>
  <c r="G589" i="22" s="1"/>
  <c r="H575" i="22"/>
  <c r="G575" i="22"/>
  <c r="H574" i="22"/>
  <c r="G574" i="22"/>
  <c r="H572" i="22"/>
  <c r="G572" i="22"/>
  <c r="F572" i="22"/>
  <c r="G571" i="22"/>
  <c r="F571" i="22"/>
  <c r="H571" i="22" s="1"/>
  <c r="G570" i="22"/>
  <c r="G576" i="22" s="1"/>
  <c r="F570" i="22"/>
  <c r="H570" i="22" s="1"/>
  <c r="H561" i="22"/>
  <c r="G561" i="22"/>
  <c r="F561" i="22"/>
  <c r="G560" i="22"/>
  <c r="F560" i="22"/>
  <c r="H560" i="22" s="1"/>
  <c r="G559" i="22"/>
  <c r="G562" i="22" s="1"/>
  <c r="F559" i="22"/>
  <c r="H559" i="22" s="1"/>
  <c r="G558" i="22"/>
  <c r="F558" i="22"/>
  <c r="H558" i="22" s="1"/>
  <c r="A552" i="22"/>
  <c r="A564" i="22" s="1"/>
  <c r="C548" i="22"/>
  <c r="H545" i="22"/>
  <c r="C545" i="22"/>
  <c r="G545" i="22" s="1"/>
  <c r="H544" i="22"/>
  <c r="G544" i="22"/>
  <c r="G542" i="22"/>
  <c r="F542" i="22"/>
  <c r="H542" i="22" s="1"/>
  <c r="H541" i="22"/>
  <c r="G541" i="22"/>
  <c r="F541" i="22"/>
  <c r="H540" i="22"/>
  <c r="F540" i="22"/>
  <c r="C540" i="22"/>
  <c r="G540" i="22" s="1"/>
  <c r="H539" i="22"/>
  <c r="G539" i="22"/>
  <c r="F539" i="22"/>
  <c r="C529" i="22"/>
  <c r="H529" i="22" s="1"/>
  <c r="H530" i="22" s="1"/>
  <c r="H524" i="22" s="1"/>
  <c r="H518" i="22"/>
  <c r="G518" i="22"/>
  <c r="C518" i="22"/>
  <c r="C513" i="22"/>
  <c r="C517" i="22" s="1"/>
  <c r="L508" i="22"/>
  <c r="L509" i="22" s="1"/>
  <c r="M507" i="22"/>
  <c r="M508" i="22" s="1"/>
  <c r="G506" i="22"/>
  <c r="N505" i="22"/>
  <c r="N507" i="22" s="1"/>
  <c r="N508" i="22" s="1"/>
  <c r="M505" i="22"/>
  <c r="M504" i="22"/>
  <c r="H504" i="22"/>
  <c r="G504" i="22"/>
  <c r="F504" i="22"/>
  <c r="L503" i="22"/>
  <c r="H503" i="22"/>
  <c r="G503" i="22"/>
  <c r="F503" i="22"/>
  <c r="G502" i="22"/>
  <c r="G507" i="22" s="1"/>
  <c r="F502" i="22"/>
  <c r="H502" i="22" s="1"/>
  <c r="H507" i="22" s="1"/>
  <c r="H499" i="22" s="1"/>
  <c r="L499" i="22"/>
  <c r="M498" i="22"/>
  <c r="L498" i="22"/>
  <c r="A497" i="22"/>
  <c r="A509" i="22" s="1"/>
  <c r="A521" i="22" s="1"/>
  <c r="A522" i="22" s="1"/>
  <c r="A532" i="22" s="1"/>
  <c r="A548" i="22" s="1"/>
  <c r="N496" i="22"/>
  <c r="N495" i="22"/>
  <c r="N493" i="22"/>
  <c r="N494" i="22" s="1"/>
  <c r="H492" i="22"/>
  <c r="G492" i="22"/>
  <c r="C490" i="22"/>
  <c r="H490" i="22" s="1"/>
  <c r="H489" i="22"/>
  <c r="G489" i="22"/>
  <c r="H488" i="22"/>
  <c r="H493" i="22" s="1"/>
  <c r="H483" i="22" s="1"/>
  <c r="G488" i="22"/>
  <c r="H478" i="22"/>
  <c r="G478" i="22"/>
  <c r="C477" i="22"/>
  <c r="H477" i="22" s="1"/>
  <c r="H475" i="22"/>
  <c r="G475" i="22"/>
  <c r="C475" i="22"/>
  <c r="H474" i="22"/>
  <c r="G474" i="22"/>
  <c r="A467" i="22"/>
  <c r="A481" i="22" s="1"/>
  <c r="H460" i="22"/>
  <c r="G460" i="22"/>
  <c r="H459" i="22"/>
  <c r="H461" i="22" s="1"/>
  <c r="H453" i="22" s="1"/>
  <c r="G459" i="22"/>
  <c r="G461" i="22" s="1"/>
  <c r="A451" i="22"/>
  <c r="A463" i="22" s="1"/>
  <c r="G444" i="22"/>
  <c r="E443" i="22"/>
  <c r="E442" i="22"/>
  <c r="E441" i="22"/>
  <c r="E438" i="22"/>
  <c r="E437" i="22"/>
  <c r="E436" i="22"/>
  <c r="E435" i="22"/>
  <c r="E434" i="22"/>
  <c r="E433" i="22"/>
  <c r="E432" i="22"/>
  <c r="E439" i="22" s="1"/>
  <c r="G439" i="22" s="1"/>
  <c r="C446" i="22" s="1"/>
  <c r="E446" i="22" s="1"/>
  <c r="A428" i="22"/>
  <c r="A448" i="22" s="1"/>
  <c r="G422" i="22"/>
  <c r="G421" i="22"/>
  <c r="F421" i="22"/>
  <c r="H421" i="22" s="1"/>
  <c r="H420" i="22"/>
  <c r="G420" i="22"/>
  <c r="F420" i="22"/>
  <c r="H419" i="22"/>
  <c r="G419" i="22"/>
  <c r="F419" i="22"/>
  <c r="G418" i="22"/>
  <c r="F418" i="22"/>
  <c r="H418" i="22" s="1"/>
  <c r="G417" i="22"/>
  <c r="F417" i="22"/>
  <c r="H417" i="22" s="1"/>
  <c r="G416" i="22"/>
  <c r="F416" i="22"/>
  <c r="H416" i="22" s="1"/>
  <c r="H415" i="22"/>
  <c r="G415" i="22"/>
  <c r="F415" i="22"/>
  <c r="H414" i="22"/>
  <c r="G414" i="22"/>
  <c r="G424" i="22" s="1"/>
  <c r="F414" i="22"/>
  <c r="G413" i="22"/>
  <c r="F413" i="22"/>
  <c r="H413" i="22" s="1"/>
  <c r="H412" i="22"/>
  <c r="G412" i="22"/>
  <c r="F412" i="22"/>
  <c r="H411" i="22"/>
  <c r="G411" i="22"/>
  <c r="F411" i="22"/>
  <c r="G410" i="22"/>
  <c r="F410" i="22"/>
  <c r="H410" i="22" s="1"/>
  <c r="H424" i="22" s="1"/>
  <c r="H405" i="22" s="1"/>
  <c r="G399" i="22"/>
  <c r="G398" i="22"/>
  <c r="F398" i="22"/>
  <c r="H398" i="22" s="1"/>
  <c r="G397" i="22"/>
  <c r="F397" i="22"/>
  <c r="H397" i="22" s="1"/>
  <c r="H396" i="22"/>
  <c r="G396" i="22"/>
  <c r="F396" i="22"/>
  <c r="H395" i="22"/>
  <c r="G395" i="22"/>
  <c r="F395" i="22"/>
  <c r="G394" i="22"/>
  <c r="F394" i="22"/>
  <c r="H394" i="22" s="1"/>
  <c r="G393" i="22"/>
  <c r="F393" i="22"/>
  <c r="H393" i="22" s="1"/>
  <c r="G392" i="22"/>
  <c r="F392" i="22"/>
  <c r="H392" i="22" s="1"/>
  <c r="H391" i="22"/>
  <c r="G391" i="22"/>
  <c r="F391" i="22"/>
  <c r="H390" i="22"/>
  <c r="G390" i="22"/>
  <c r="F390" i="22"/>
  <c r="G389" i="22"/>
  <c r="F389" i="22"/>
  <c r="H389" i="22" s="1"/>
  <c r="H388" i="22"/>
  <c r="G388" i="22"/>
  <c r="G401" i="22" s="1"/>
  <c r="F388" i="22"/>
  <c r="A381" i="22"/>
  <c r="A403" i="22" s="1"/>
  <c r="G378" i="22"/>
  <c r="F377" i="22"/>
  <c r="G377" i="22" s="1"/>
  <c r="G376" i="22"/>
  <c r="G379" i="22" s="1"/>
  <c r="F376" i="22"/>
  <c r="E376" i="22"/>
  <c r="G370" i="22"/>
  <c r="G369" i="22"/>
  <c r="G371" i="22" s="1"/>
  <c r="F369" i="22"/>
  <c r="G363" i="22"/>
  <c r="G364" i="22" s="1"/>
  <c r="G362" i="22"/>
  <c r="F362" i="22"/>
  <c r="A359" i="22"/>
  <c r="G355" i="22"/>
  <c r="F354" i="22"/>
  <c r="G354" i="22" s="1"/>
  <c r="G356" i="22" s="1"/>
  <c r="E348" i="22"/>
  <c r="D347" i="22"/>
  <c r="E347" i="22" s="1"/>
  <c r="E349" i="22" s="1"/>
  <c r="E341" i="22"/>
  <c r="E340" i="22"/>
  <c r="E342" i="22" s="1"/>
  <c r="D340" i="22"/>
  <c r="E334" i="22"/>
  <c r="E333" i="22"/>
  <c r="E335" i="22" s="1"/>
  <c r="D333" i="22"/>
  <c r="A330" i="22"/>
  <c r="A337" i="22" s="1"/>
  <c r="A344" i="22" s="1"/>
  <c r="A351" i="22" s="1"/>
  <c r="E327" i="22"/>
  <c r="D326" i="22"/>
  <c r="E326" i="22" s="1"/>
  <c r="E328" i="22" s="1"/>
  <c r="E320" i="22"/>
  <c r="D319" i="22"/>
  <c r="E319" i="22" s="1"/>
  <c r="E321" i="22" s="1"/>
  <c r="E313" i="22"/>
  <c r="D312" i="22"/>
  <c r="E312" i="22" s="1"/>
  <c r="E314" i="22" s="1"/>
  <c r="E306" i="22"/>
  <c r="E305" i="22"/>
  <c r="E307" i="22" s="1"/>
  <c r="D305" i="22"/>
  <c r="E299" i="22"/>
  <c r="E298" i="22"/>
  <c r="E300" i="22" s="1"/>
  <c r="D298" i="22"/>
  <c r="E292" i="22"/>
  <c r="D291" i="22"/>
  <c r="E291" i="22" s="1"/>
  <c r="E293" i="22" s="1"/>
  <c r="E285" i="22"/>
  <c r="D284" i="22"/>
  <c r="E284" i="22" s="1"/>
  <c r="E286" i="22" s="1"/>
  <c r="E278" i="22"/>
  <c r="D277" i="22"/>
  <c r="E277" i="22" s="1"/>
  <c r="E279" i="22" s="1"/>
  <c r="E271" i="22"/>
  <c r="E270" i="22"/>
  <c r="E272" i="22" s="1"/>
  <c r="D270" i="22"/>
  <c r="E264" i="22"/>
  <c r="D263" i="22"/>
  <c r="E263" i="22" s="1"/>
  <c r="E265" i="22" s="1"/>
  <c r="A260" i="22"/>
  <c r="A267" i="22" s="1"/>
  <c r="A274" i="22" s="1"/>
  <c r="A281" i="22" s="1"/>
  <c r="A288" i="22" s="1"/>
  <c r="A295" i="22" s="1"/>
  <c r="A302" i="22" s="1"/>
  <c r="A309" i="22" s="1"/>
  <c r="A316" i="22" s="1"/>
  <c r="G252" i="22"/>
  <c r="G251" i="22"/>
  <c r="E251" i="22"/>
  <c r="E247" i="22"/>
  <c r="E240" i="22"/>
  <c r="G240" i="22" s="1"/>
  <c r="D232" i="22"/>
  <c r="D248" i="22" s="1"/>
  <c r="E248" i="22" s="1"/>
  <c r="E249" i="22" s="1"/>
  <c r="G249" i="22" s="1"/>
  <c r="G221" i="22"/>
  <c r="G220" i="22"/>
  <c r="E220" i="22"/>
  <c r="E216" i="22"/>
  <c r="G209" i="22"/>
  <c r="E209" i="22"/>
  <c r="E201" i="22"/>
  <c r="G207" i="22" s="1"/>
  <c r="D201" i="22"/>
  <c r="D217" i="22" s="1"/>
  <c r="E217" i="22" s="1"/>
  <c r="C192" i="22"/>
  <c r="D192" i="22" s="1"/>
  <c r="E192" i="22" s="1"/>
  <c r="F192" i="22" s="1"/>
  <c r="D187" i="22"/>
  <c r="E187" i="22" s="1"/>
  <c r="F187" i="22" s="1"/>
  <c r="C187" i="22"/>
  <c r="H178" i="22"/>
  <c r="G178" i="22"/>
  <c r="H177" i="22"/>
  <c r="G177" i="22"/>
  <c r="C176" i="22"/>
  <c r="H176" i="22" s="1"/>
  <c r="H179" i="22" s="1"/>
  <c r="H172" i="22" s="1"/>
  <c r="H167" i="22"/>
  <c r="G167" i="22"/>
  <c r="H166" i="22"/>
  <c r="G166" i="22"/>
  <c r="H165" i="22"/>
  <c r="G165" i="22"/>
  <c r="H163" i="22"/>
  <c r="G163" i="22"/>
  <c r="H162" i="22"/>
  <c r="G162" i="22"/>
  <c r="C161" i="22"/>
  <c r="H161" i="22" s="1"/>
  <c r="C160" i="22"/>
  <c r="H160" i="22" s="1"/>
  <c r="G158" i="22"/>
  <c r="C158" i="22"/>
  <c r="H158" i="22" s="1"/>
  <c r="C153" i="22"/>
  <c r="C159" i="22" s="1"/>
  <c r="E138" i="22"/>
  <c r="G136" i="22"/>
  <c r="G135" i="22"/>
  <c r="G137" i="22" s="1"/>
  <c r="G132" i="22"/>
  <c r="F94" i="22"/>
  <c r="F93" i="22"/>
  <c r="F95" i="22" s="1"/>
  <c r="F90" i="22"/>
  <c r="F97" i="22" s="1"/>
  <c r="E127" i="22" s="1"/>
  <c r="F86" i="22"/>
  <c r="A82" i="22"/>
  <c r="A129" i="22" s="1"/>
  <c r="A146" i="22" s="1"/>
  <c r="A170" i="22" s="1"/>
  <c r="G79" i="22"/>
  <c r="C79" i="22"/>
  <c r="H79" i="22" s="1"/>
  <c r="G78" i="22"/>
  <c r="G80" i="22" s="1"/>
  <c r="C78" i="22"/>
  <c r="H78" i="22" s="1"/>
  <c r="A70" i="22"/>
  <c r="F60" i="22"/>
  <c r="E60" i="22"/>
  <c r="G60" i="22" s="1"/>
  <c r="E62" i="22" s="1"/>
  <c r="G50" i="22"/>
  <c r="F50" i="22"/>
  <c r="F49" i="22"/>
  <c r="G49" i="22" s="1"/>
  <c r="G48" i="22"/>
  <c r="G47" i="22"/>
  <c r="F47" i="22"/>
  <c r="F46" i="22"/>
  <c r="G46" i="22" s="1"/>
  <c r="G36" i="22"/>
  <c r="G34" i="22"/>
  <c r="G39" i="22" s="1"/>
  <c r="C41" i="22" s="1"/>
  <c r="I41" i="22" s="1"/>
  <c r="G21" i="22"/>
  <c r="G20" i="22"/>
  <c r="G19" i="22"/>
  <c r="G18" i="22"/>
  <c r="G22" i="22" s="1"/>
  <c r="G14" i="22"/>
  <c r="G13" i="22"/>
  <c r="G15" i="22" s="1"/>
  <c r="G24" i="22" s="1"/>
  <c r="G12" i="22"/>
  <c r="G499" i="22" l="1"/>
  <c r="I507" i="22"/>
  <c r="G581" i="22"/>
  <c r="I589" i="22"/>
  <c r="G168" i="22"/>
  <c r="G493" i="22"/>
  <c r="H589" i="22"/>
  <c r="H581" i="22" s="1"/>
  <c r="H159" i="22"/>
  <c r="G159" i="22"/>
  <c r="G554" i="22"/>
  <c r="H168" i="22"/>
  <c r="H148" i="22" s="1"/>
  <c r="H80" i="22"/>
  <c r="H72" i="22" s="1"/>
  <c r="E218" i="22"/>
  <c r="H484" i="22"/>
  <c r="I499" i="22"/>
  <c r="I602" i="22"/>
  <c r="I596" i="22" s="1"/>
  <c r="G596" i="22"/>
  <c r="G52" i="22"/>
  <c r="G54" i="22" s="1"/>
  <c r="G62" i="22" s="1"/>
  <c r="I62" i="22" s="1"/>
  <c r="I64" i="22" s="1"/>
  <c r="E66" i="22" s="1"/>
  <c r="I80" i="22"/>
  <c r="I72" i="22" s="1"/>
  <c r="G72" i="22"/>
  <c r="G405" i="22"/>
  <c r="I424" i="22"/>
  <c r="I405" i="22" s="1"/>
  <c r="H562" i="22"/>
  <c r="H554" i="22" s="1"/>
  <c r="I554" i="22" s="1"/>
  <c r="G140" i="22"/>
  <c r="G143" i="22" s="1"/>
  <c r="G144" i="22" s="1"/>
  <c r="G139" i="22"/>
  <c r="I461" i="22"/>
  <c r="I453" i="22" s="1"/>
  <c r="G453" i="22"/>
  <c r="G546" i="22"/>
  <c r="J401" i="22"/>
  <c r="G383" i="22"/>
  <c r="H479" i="22"/>
  <c r="H469" i="22" s="1"/>
  <c r="H546" i="22"/>
  <c r="H576" i="22"/>
  <c r="H566" i="22" s="1"/>
  <c r="I566" i="22" s="1"/>
  <c r="C616" i="22"/>
  <c r="E616" i="22" s="1"/>
  <c r="H401" i="22"/>
  <c r="H383" i="22" s="1"/>
  <c r="G517" i="22"/>
  <c r="G519" i="22" s="1"/>
  <c r="H517" i="22"/>
  <c r="H519" i="22" s="1"/>
  <c r="H511" i="22" s="1"/>
  <c r="G566" i="22"/>
  <c r="G161" i="22"/>
  <c r="E232" i="22"/>
  <c r="G238" i="22" s="1"/>
  <c r="G254" i="22" s="1"/>
  <c r="C256" i="22" s="1"/>
  <c r="G256" i="22" s="1"/>
  <c r="G490" i="22"/>
  <c r="G160" i="22"/>
  <c r="G176" i="22"/>
  <c r="G179" i="22" s="1"/>
  <c r="G477" i="22"/>
  <c r="G479" i="22" s="1"/>
  <c r="G529" i="22"/>
  <c r="G530" i="22" s="1"/>
  <c r="I479" i="22" l="1"/>
  <c r="G469" i="22"/>
  <c r="G470" i="22" s="1"/>
  <c r="G218" i="22"/>
  <c r="G223" i="22" s="1"/>
  <c r="C225" i="22" s="1"/>
  <c r="G225" i="22" s="1"/>
  <c r="I218" i="22"/>
  <c r="I493" i="22"/>
  <c r="G483" i="22"/>
  <c r="H534" i="22"/>
  <c r="H535" i="22"/>
  <c r="I535" i="22" s="1"/>
  <c r="I168" i="22"/>
  <c r="I148" i="22" s="1"/>
  <c r="G148" i="22"/>
  <c r="I530" i="22"/>
  <c r="I524" i="22" s="1"/>
  <c r="G524" i="22"/>
  <c r="I576" i="22"/>
  <c r="I401" i="22"/>
  <c r="I383" i="22" s="1"/>
  <c r="I562" i="22"/>
  <c r="I179" i="22"/>
  <c r="I172" i="22" s="1"/>
  <c r="G172" i="22"/>
  <c r="I519" i="22"/>
  <c r="I511" i="22" s="1"/>
  <c r="G511" i="22"/>
  <c r="H470" i="22"/>
  <c r="I470" i="22" s="1"/>
  <c r="I469" i="22"/>
  <c r="G535" i="22"/>
  <c r="I546" i="22"/>
  <c r="I534" i="22" s="1"/>
  <c r="G534" i="22"/>
  <c r="I581" i="22"/>
  <c r="J172" i="22" l="1"/>
  <c r="E464" i="22"/>
  <c r="G484" i="22"/>
  <c r="I484" i="22" s="1"/>
  <c r="I483" i="22"/>
  <c r="E87" i="18" l="1"/>
  <c r="F87" i="18" s="1"/>
  <c r="F86" i="18"/>
  <c r="E85" i="18"/>
  <c r="F85" i="18" s="1"/>
  <c r="F84" i="18"/>
  <c r="E81" i="18"/>
  <c r="F81" i="18" s="1"/>
  <c r="F80" i="18"/>
  <c r="E79" i="18"/>
  <c r="F79" i="18" s="1"/>
  <c r="E78" i="18"/>
  <c r="F78" i="18" s="1"/>
  <c r="A78" i="18"/>
  <c r="A79" i="18" s="1"/>
  <c r="F77" i="18"/>
  <c r="F76" i="18"/>
  <c r="E75" i="18"/>
  <c r="F75" i="18" s="1"/>
  <c r="C75" i="18"/>
  <c r="E74" i="18"/>
  <c r="F74" i="18" s="1"/>
  <c r="E73" i="18"/>
  <c r="F73" i="18" s="1"/>
  <c r="E71" i="18"/>
  <c r="E70" i="18"/>
  <c r="F70" i="18" s="1"/>
  <c r="A70" i="18"/>
  <c r="A71" i="18" s="1"/>
  <c r="A72" i="18" s="1"/>
  <c r="A73" i="18" s="1"/>
  <c r="A74" i="18" s="1"/>
  <c r="A75" i="18" s="1"/>
  <c r="F69" i="18"/>
  <c r="F68" i="18"/>
  <c r="E67" i="18"/>
  <c r="F67" i="18" s="1"/>
  <c r="E66" i="18"/>
  <c r="F66" i="18" s="1"/>
  <c r="A66" i="18"/>
  <c r="A67" i="18" s="1"/>
  <c r="F65" i="18"/>
  <c r="F64" i="18"/>
  <c r="E63" i="18"/>
  <c r="E72" i="18" s="1"/>
  <c r="F72" i="18" s="1"/>
  <c r="E62" i="18"/>
  <c r="F62" i="18" s="1"/>
  <c r="A62" i="18"/>
  <c r="A63" i="18" s="1"/>
  <c r="F61" i="18"/>
  <c r="F60" i="18"/>
  <c r="E59" i="18"/>
  <c r="F59" i="18" s="1"/>
  <c r="E58" i="18"/>
  <c r="F58" i="18" s="1"/>
  <c r="A58" i="18"/>
  <c r="A59" i="18" s="1"/>
  <c r="F57" i="18"/>
  <c r="F56" i="18"/>
  <c r="E55" i="18"/>
  <c r="E54" i="18"/>
  <c r="F54" i="18" s="1"/>
  <c r="A54" i="18"/>
  <c r="A55" i="18" s="1"/>
  <c r="F53" i="18"/>
  <c r="F52" i="18"/>
  <c r="E51" i="18"/>
  <c r="F51" i="18" s="1"/>
  <c r="E50" i="18"/>
  <c r="F50" i="18" s="1"/>
  <c r="E49" i="18"/>
  <c r="F49" i="18" s="1"/>
  <c r="A49" i="18"/>
  <c r="F48" i="18"/>
  <c r="F47" i="18"/>
  <c r="E46" i="18"/>
  <c r="F46" i="18" s="1"/>
  <c r="E45" i="18"/>
  <c r="E44" i="18"/>
  <c r="F44" i="18" s="1"/>
  <c r="E43" i="18"/>
  <c r="F43" i="18" s="1"/>
  <c r="A43" i="18"/>
  <c r="A44" i="18" s="1"/>
  <c r="A45" i="18" s="1"/>
  <c r="A46" i="18" s="1"/>
  <c r="E42" i="18"/>
  <c r="E41" i="18"/>
  <c r="F41" i="18" s="1"/>
  <c r="E40" i="18"/>
  <c r="F40" i="18" s="1"/>
  <c r="E39" i="18"/>
  <c r="F39" i="18" s="1"/>
  <c r="E38" i="18"/>
  <c r="F38" i="18" s="1"/>
  <c r="E37" i="18"/>
  <c r="F37" i="18" s="1"/>
  <c r="E36" i="18"/>
  <c r="F36" i="18" s="1"/>
  <c r="E35" i="18"/>
  <c r="E34" i="18"/>
  <c r="F34" i="18" s="1"/>
  <c r="E33" i="18"/>
  <c r="F33" i="18" s="1"/>
  <c r="A33" i="18"/>
  <c r="A34" i="18" s="1"/>
  <c r="A35" i="18" s="1"/>
  <c r="A36" i="18" s="1"/>
  <c r="A37" i="18" s="1"/>
  <c r="A38" i="18" s="1"/>
  <c r="A39" i="18" s="1"/>
  <c r="A40" i="18" s="1"/>
  <c r="A41" i="18" s="1"/>
  <c r="F32" i="18"/>
  <c r="F31" i="18"/>
  <c r="E30" i="18"/>
  <c r="E29" i="18"/>
  <c r="F29" i="18" s="1"/>
  <c r="F28" i="18"/>
  <c r="F27" i="18"/>
  <c r="E26" i="18"/>
  <c r="F26" i="18" s="1"/>
  <c r="E25" i="18"/>
  <c r="F24" i="18"/>
  <c r="F23" i="18"/>
  <c r="E22" i="18"/>
  <c r="E21" i="18"/>
  <c r="F21" i="18" s="1"/>
  <c r="E20" i="18"/>
  <c r="F20" i="18" s="1"/>
  <c r="A20" i="18"/>
  <c r="A21" i="18" s="1"/>
  <c r="A22" i="18" s="1"/>
  <c r="E19" i="18"/>
  <c r="F19" i="18" s="1"/>
  <c r="A19" i="18"/>
  <c r="E18" i="18"/>
  <c r="F18" i="18" s="1"/>
  <c r="A18" i="18"/>
  <c r="F17" i="18"/>
  <c r="F16" i="18"/>
  <c r="E15" i="18"/>
  <c r="F25" i="18" l="1"/>
  <c r="F42" i="18"/>
  <c r="F30" i="18"/>
  <c r="F63" i="18"/>
  <c r="F45" i="18"/>
  <c r="F55" i="18"/>
  <c r="F71" i="18"/>
  <c r="F22" i="18"/>
  <c r="F35" i="18"/>
  <c r="F15" i="18"/>
  <c r="F88" i="18"/>
  <c r="F82" i="18" l="1"/>
  <c r="F90" i="18" s="1"/>
  <c r="F91" i="18" s="1"/>
  <c r="F98" i="18" s="1"/>
  <c r="F102" i="18" l="1"/>
  <c r="F96" i="18"/>
  <c r="F101" i="18"/>
  <c r="F94" i="18"/>
  <c r="F99" i="18" s="1"/>
  <c r="F95" i="18"/>
  <c r="F103" i="18"/>
  <c r="F100" i="18"/>
  <c r="F97" i="18"/>
  <c r="F93" i="18"/>
  <c r="F104" i="18" l="1"/>
  <c r="F106" i="18" s="1"/>
  <c r="F107" i="18" s="1"/>
</calcChain>
</file>

<file path=xl/sharedStrings.xml><?xml version="1.0" encoding="utf-8"?>
<sst xmlns="http://schemas.openxmlformats.org/spreadsheetml/2006/main" count="1290" uniqueCount="388">
  <si>
    <t>Partida</t>
  </si>
  <si>
    <t>Descripcion</t>
  </si>
  <si>
    <t>Unidad</t>
  </si>
  <si>
    <t>P.U. (RD$)</t>
  </si>
  <si>
    <t>Valor (RD$)</t>
  </si>
  <si>
    <t>TOTAL GASTOS INDIRECTOS</t>
  </si>
  <si>
    <t>TOTAL A EJECUTAR</t>
  </si>
  <si>
    <t>TOTAL A CONTRATAR</t>
  </si>
  <si>
    <t>Cant.</t>
  </si>
  <si>
    <t>VARIOS</t>
  </si>
  <si>
    <t>A</t>
  </si>
  <si>
    <t>SUB- TOTAL GENERAL</t>
  </si>
  <si>
    <t>M</t>
  </si>
  <si>
    <t>ZONA : VIII</t>
  </si>
  <si>
    <t xml:space="preserve">CODIA </t>
  </si>
  <si>
    <t>MOVIMIENTO DE TIERRA:</t>
  </si>
  <si>
    <t>LIMPIEZA CONTINUA Y FINAL</t>
  </si>
  <si>
    <t>TOTAL FASE A</t>
  </si>
  <si>
    <t>B</t>
  </si>
  <si>
    <t>TOTAL FASE B</t>
  </si>
  <si>
    <t>DEMOLICIONES</t>
  </si>
  <si>
    <t xml:space="preserve">Obra </t>
  </si>
  <si>
    <t xml:space="preserve">ASFALTO </t>
  </si>
  <si>
    <t>RECONSTRUCCIÓN DE REDES ACUEDUCTO POSTRER RÍO</t>
  </si>
  <si>
    <t>REDES DISTRIBUCIÓN</t>
  </si>
  <si>
    <t>SUMINISTRO DE TUBERÍAS</t>
  </si>
  <si>
    <t>COLOCACIÓN DE TUBERIAS</t>
  </si>
  <si>
    <t>SUMINISTRO Y COLOCACIÓN DE VÁLVULAS</t>
  </si>
  <si>
    <t>PRUEBA HIDROSTÁTICA EN TUBERÍAS DE:</t>
  </si>
  <si>
    <t>REPOSICIÓN DE</t>
  </si>
  <si>
    <t xml:space="preserve">Ubicación : PROVINCIA INDEPENDENCIA </t>
  </si>
  <si>
    <t xml:space="preserve">SUMINISTRO Y COLOCACIÓN DE PIEZAS ESPECIALES  </t>
  </si>
  <si>
    <t>Ud</t>
  </si>
  <si>
    <t>Codo de 4"x90º PVC SCH-40</t>
  </si>
  <si>
    <t xml:space="preserve">Codo de 4"x45º PVC SCH-40 </t>
  </si>
  <si>
    <t>Codo de 3"x90º PVC SCH-40</t>
  </si>
  <si>
    <t>Codo de 3"x45º  PVC SCH-40</t>
  </si>
  <si>
    <t xml:space="preserve">Tee de 4"x4"  PVC SCH-40 </t>
  </si>
  <si>
    <t xml:space="preserve">Tee de 3"x3" PVC SCH-40 </t>
  </si>
  <si>
    <t>Yee de 4"x3" PVC SCH-40</t>
  </si>
  <si>
    <t xml:space="preserve">Yee de 3"x3" PVC SCH-40 </t>
  </si>
  <si>
    <t xml:space="preserve">Cruz de 3"x3" PVC SCH-40 </t>
  </si>
  <si>
    <t xml:space="preserve">Reducción 4"x3"  PVC SCH-40 </t>
  </si>
  <si>
    <t>Tapón Ø4" PVC SCH-40</t>
  </si>
  <si>
    <t>Tapón Ø3" PVC SCH-40</t>
  </si>
  <si>
    <t>M³</t>
  </si>
  <si>
    <t>Anclaje H.S. p/piezas</t>
  </si>
  <si>
    <r>
      <t>M</t>
    </r>
    <r>
      <rPr>
        <vertAlign val="superscript"/>
        <sz val="11"/>
        <rFont val="Arial"/>
        <family val="2"/>
      </rPr>
      <t>3</t>
    </r>
  </si>
  <si>
    <r>
      <t>M</t>
    </r>
    <r>
      <rPr>
        <vertAlign val="superscript"/>
        <sz val="11"/>
        <rFont val="Arial"/>
        <family val="2"/>
      </rPr>
      <t>2</t>
    </r>
  </si>
  <si>
    <r>
      <t>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/KM</t>
    </r>
  </si>
  <si>
    <t xml:space="preserve">Cruz de 4"x4" PVC SCH-40 </t>
  </si>
  <si>
    <t>Replanteo</t>
  </si>
  <si>
    <t>Excavación material compacto c/equipo</t>
  </si>
  <si>
    <t>Nivelación de fondo de zanja</t>
  </si>
  <si>
    <t>Asiento de arena</t>
  </si>
  <si>
    <t>Tubería de Ø4" PVC (SDR-26 ) C/J.G. + 2% Desp.</t>
  </si>
  <si>
    <t>Tubería de Ø3" PVC (SDR-26 ) C/J.G. + 2% Desp.</t>
  </si>
  <si>
    <t xml:space="preserve">Tubería de Ø4" PVC (SDR-26 ) C/J.G. </t>
  </si>
  <si>
    <t xml:space="preserve">Tubería de Ø3" PVC (SDR-26 ) C/J.G. </t>
  </si>
  <si>
    <t>ACOMETIDAS EN  POLIETILENO</t>
  </si>
  <si>
    <t>Rurales Ø3"</t>
  </si>
  <si>
    <t>Bote de material c/camión (dist= 5.00 km) (inc. esparcimiento en botadero)</t>
  </si>
  <si>
    <t>De compuerta Ø4" H.F 150 PSI (incluye cuerpo de la válvula, junta de goma, tornillos, niples, junta mecánica tipo Dresser, Tee de acero, movimiento de tierra y mano de obra)</t>
  </si>
  <si>
    <t>De compuerta Ø3" H.F 150 PSI (incluye cuerpo de la válvula, junta de goma, tornillos, niples, junta mecánica tipo Dresser, Tee de acero, movimiento de tierra y mano de obra)</t>
  </si>
  <si>
    <t>Cajas telescópicos p/valvulas de H.F.</t>
  </si>
  <si>
    <t>Demolicón de acera y contenes</t>
  </si>
  <si>
    <t>Bote de escombros</t>
  </si>
  <si>
    <t>Contenes</t>
  </si>
  <si>
    <t>Corte de asfalto</t>
  </si>
  <si>
    <t>Transporte de asfalto caliente (31.00 km)</t>
  </si>
  <si>
    <t>Suministro e instalacion de letreros, uso de  conos refractarios y hombres con banderolas</t>
  </si>
  <si>
    <t>Gastos administrativos</t>
  </si>
  <si>
    <t>Honorarios profesionales</t>
  </si>
  <si>
    <t>Seguros, pólizas y fianzas</t>
  </si>
  <si>
    <t xml:space="preserve"> Supervisión de la obra</t>
  </si>
  <si>
    <t>Gastos de transporte</t>
  </si>
  <si>
    <t>Ley 6-86</t>
  </si>
  <si>
    <t>ITBIS de honorarios profesionales</t>
  </si>
  <si>
    <t>Mantenimiento y operación de INAPA</t>
  </si>
  <si>
    <t xml:space="preserve">Estudios (sociales, ambientales, geotécnico, topográfico, de calidad, etc.) </t>
  </si>
  <si>
    <t>Imprevistos</t>
  </si>
  <si>
    <t>Bote de carpeta asfalto c/ camión (dist= 5.00 km) (inc. esparcimiento en botadero)</t>
  </si>
  <si>
    <r>
      <t xml:space="preserve">Suministro y colocacion de asfalto caliente + 25% desp </t>
    </r>
    <r>
      <rPr>
        <i/>
        <sz val="11"/>
        <rFont val="Arial"/>
        <family val="2"/>
      </rPr>
      <t>e</t>
    </r>
    <r>
      <rPr>
        <sz val="11"/>
        <rFont val="Arial"/>
        <family val="2"/>
      </rPr>
      <t>= 2" (Inc. Riego de adherencia)</t>
    </r>
  </si>
  <si>
    <t>Remocion de asfalto</t>
  </si>
  <si>
    <t xml:space="preserve">SEÑALIZACIÓN, CONTROL, SEGURIDAD EN LA OBRA Y MANEJO DEL TRANSITO  </t>
  </si>
  <si>
    <t>Mes</t>
  </si>
  <si>
    <t>PRELIMINARES</t>
  </si>
  <si>
    <t>Compactado de relleno con compactador mecánico en capa de 0.20 m (incluida la manipulacion del relleno)</t>
  </si>
  <si>
    <t xml:space="preserve">Acometida urbanas Ø3" X 1/2" en tuberia de polietileno inclida la valvula de paso y el registro de inspeción en PPR </t>
  </si>
  <si>
    <t xml:space="preserve">Acera e=0.10 </t>
  </si>
  <si>
    <t>Suministro y colocación de imprimación con gravilla</t>
  </si>
  <si>
    <t xml:space="preserve">Suministro e instalacion de pasarelas, letreros pequeños con base en angulares, postes para cintas refractaria,luces intermitentes color ambar y barreras de peligro naranja </t>
  </si>
  <si>
    <t>Valla anunciando la obra 20''x 10'' impresión full color, conteniendo logo de inapa, nombre del proyecto y contratista .estructura en tubos galvanizados 1 ½" x 1 ½" y soporte en tubos cuadrados 4"x4"</t>
  </si>
  <si>
    <t>Campamento casa o solar y 2 baños portatiles</t>
  </si>
  <si>
    <t>a)  BRIGADA DE REPLANTEO</t>
  </si>
  <si>
    <t>Cantidad</t>
  </si>
  <si>
    <t>Precio</t>
  </si>
  <si>
    <t>Sub-Total</t>
  </si>
  <si>
    <t>Topografo</t>
  </si>
  <si>
    <t>Dia</t>
  </si>
  <si>
    <t>Portaprismas</t>
  </si>
  <si>
    <t>Peon</t>
  </si>
  <si>
    <t>Costo Por Dia</t>
  </si>
  <si>
    <t>Camioneta de doble tracción</t>
  </si>
  <si>
    <t>Dias</t>
  </si>
  <si>
    <t>Alquiler de equipo topografico</t>
  </si>
  <si>
    <t>Chofer</t>
  </si>
  <si>
    <t>Viaticos</t>
  </si>
  <si>
    <t>Costo Brigada de Replanteo Por Dia</t>
  </si>
  <si>
    <t>Rendimiento en Construcción:</t>
  </si>
  <si>
    <t>ML/DIA</t>
  </si>
  <si>
    <t>Obras de Arte</t>
  </si>
  <si>
    <t>UD</t>
  </si>
  <si>
    <t>Rendimiento en Obras de Arte:</t>
  </si>
  <si>
    <t>Obras/Dia</t>
  </si>
  <si>
    <t>Costo de la Brigada de Replanteo:</t>
  </si>
  <si>
    <t>Trazado General :</t>
  </si>
  <si>
    <t>No. Dias:</t>
  </si>
  <si>
    <t>(3,979.09 ML/1,000.00) =</t>
  </si>
  <si>
    <t>Obras de Arte:</t>
  </si>
  <si>
    <t>(10.00 UD/3.00) =</t>
  </si>
  <si>
    <t>No. Dias Perdidos:</t>
  </si>
  <si>
    <t>Total Dias:</t>
  </si>
  <si>
    <t xml:space="preserve">C.U. = </t>
  </si>
  <si>
    <t>b).- BRIGADA FIJA DE VERIFICACION</t>
  </si>
  <si>
    <t>Veces</t>
  </si>
  <si>
    <t>Costo de la Brigada Fija Por Mes</t>
  </si>
  <si>
    <t>Costo de la Brigada Fija Por Dia</t>
  </si>
  <si>
    <t>Tiempo de Duracion de la Obra</t>
  </si>
  <si>
    <t>Meses</t>
  </si>
  <si>
    <t>Visitas</t>
  </si>
  <si>
    <t xml:space="preserve">Costo de la Brigada Fija </t>
  </si>
  <si>
    <t>Sub-Total Brigada de Replanteo y Fija</t>
  </si>
  <si>
    <t xml:space="preserve">Usar un P.A. </t>
  </si>
  <si>
    <t>EXCAVACION CALICHE CIELO ABIERTO- EXCAVADORA CAT320D CUBO</t>
  </si>
  <si>
    <t>M3N</t>
  </si>
  <si>
    <t>Excavación en caliche en solar 700M2 x 2M prof.</t>
  </si>
  <si>
    <t xml:space="preserve">Volumen Análisis </t>
  </si>
  <si>
    <t>Rendimientos</t>
  </si>
  <si>
    <t>Excavación caliche Excavadora CAT320D Cubo</t>
  </si>
  <si>
    <t>M3N/HR</t>
  </si>
  <si>
    <t>Materiales y Equipos</t>
  </si>
  <si>
    <t>Excavadora CAT320D cubo Todo Costo</t>
  </si>
  <si>
    <t>HR</t>
  </si>
  <si>
    <t>Tranporte Ida y Vuelta interno</t>
  </si>
  <si>
    <t>UND</t>
  </si>
  <si>
    <t>Total/UND</t>
  </si>
  <si>
    <t>Equipo</t>
  </si>
  <si>
    <t>Motoniveladora</t>
  </si>
  <si>
    <t>Cat. 12-G</t>
  </si>
  <si>
    <t>Alquiler</t>
  </si>
  <si>
    <t>Itbis</t>
  </si>
  <si>
    <t>Operador</t>
  </si>
  <si>
    <t>Combustible</t>
  </si>
  <si>
    <t>Lubricante</t>
  </si>
  <si>
    <t>RD$/Hr</t>
  </si>
  <si>
    <t>Brigada:</t>
  </si>
  <si>
    <t>Capataz</t>
  </si>
  <si>
    <t xml:space="preserve">   Hr   </t>
  </si>
  <si>
    <t xml:space="preserve">Peon </t>
  </si>
  <si>
    <t>Costo Equipo y Personal:</t>
  </si>
  <si>
    <t>b) Nivelado y perfilado</t>
  </si>
  <si>
    <t>Tiempo de ida en 1ra. velocidad</t>
  </si>
  <si>
    <t xml:space="preserve">Tiempo ida = d/v = </t>
  </si>
  <si>
    <t>(200/3.60) x (60/1000) =</t>
  </si>
  <si>
    <t>Tiempo de regreso en 3ra. Velocidad</t>
  </si>
  <si>
    <t>Tiempo regreso = d/v = (200/7.80) x (60/1000) =</t>
  </si>
  <si>
    <t>Tiempo maniobras =</t>
  </si>
  <si>
    <t>Tiempo total nivelando y perfilando material = (3.33 + 1.54 + 1.80) x 3 =</t>
  </si>
  <si>
    <t>minutos</t>
  </si>
  <si>
    <t>Tiempo total regando, nivelando y perfilando  = (13.64 + 20.02 =</t>
  </si>
  <si>
    <t>Tiempo total corregido =  (33.65)/(0.75) =</t>
  </si>
  <si>
    <t>Volumen realizado =     L x e x ancho efectivo hoja</t>
  </si>
  <si>
    <t>Volumen realizado =     200 mt x 0.20 mt x 3.11 mt. =</t>
  </si>
  <si>
    <t>M3E</t>
  </si>
  <si>
    <t>Rendimiento =</t>
  </si>
  <si>
    <t>(Volumen regado y nivelado)/(Tiempo total) =</t>
  </si>
  <si>
    <t>124.40/44.87</t>
  </si>
  <si>
    <t>M3E/min</t>
  </si>
  <si>
    <t>Utilizando 45 minutos / hora de trabajo efectivo:</t>
  </si>
  <si>
    <t xml:space="preserve">(2.77 M3E/min x 45.00 min/hr) = </t>
  </si>
  <si>
    <t>M3E/Hr</t>
  </si>
  <si>
    <t>Costo =</t>
  </si>
  <si>
    <t>(3,469.44 RD$/Hr)/(124.65 M3E/Hr)</t>
  </si>
  <si>
    <t>RD$/M3E</t>
  </si>
  <si>
    <t>Suministro De Agregados</t>
  </si>
  <si>
    <t>Arena</t>
  </si>
  <si>
    <t>m3</t>
  </si>
  <si>
    <t>CAPATAZ</t>
  </si>
  <si>
    <t>Peones</t>
  </si>
  <si>
    <t>RD$/HR</t>
  </si>
  <si>
    <t>Herramientas</t>
  </si>
  <si>
    <t>Rendimiento</t>
  </si>
  <si>
    <t>M3/HR</t>
  </si>
  <si>
    <t>Eficiencia</t>
  </si>
  <si>
    <t>C.U. MATERIAL DE ASIENTO PARA TUBERIA</t>
  </si>
  <si>
    <t>RD$/M3</t>
  </si>
  <si>
    <t>Costo x M3</t>
  </si>
  <si>
    <t>REGADO NIVELADO Y COMPACTADO RELLENO M3C</t>
  </si>
  <si>
    <t>M3C</t>
  </si>
  <si>
    <t xml:space="preserve">Relleno, nivelado y compactado relleno 6000M2 </t>
  </si>
  <si>
    <t>Regado y nivelado con Motonivelador CAT12H</t>
  </si>
  <si>
    <t>M3E/HR</t>
  </si>
  <si>
    <t>Terminación de superficie Motonivelador CAT12H</t>
  </si>
  <si>
    <t>Compactación con Rodillo IR SD100-D</t>
  </si>
  <si>
    <t>Camión de agua 2,000 GLS</t>
  </si>
  <si>
    <t>M3E/UND</t>
  </si>
  <si>
    <t>Coeficiente de Esponjamiento</t>
  </si>
  <si>
    <t>Tranporte Ida y Vuelta interno Motoniveladora</t>
  </si>
  <si>
    <t>Tranporte Ida y Vuelta interno Rodillo</t>
  </si>
  <si>
    <t>Mano de Obra</t>
  </si>
  <si>
    <t>Brigada Topográfica</t>
  </si>
  <si>
    <t>DIA</t>
  </si>
  <si>
    <t>Boleros - Ayudantes</t>
  </si>
  <si>
    <t>Beneficios contratista Movimientos de Tierra</t>
  </si>
  <si>
    <t>%</t>
  </si>
  <si>
    <t>CARGA Y BOTE MATERIAL - EXCAV CAT320D CUBO</t>
  </si>
  <si>
    <t xml:space="preserve">Carga y bote material  </t>
  </si>
  <si>
    <t>Carga con Excavadora CAT320D Cubo</t>
  </si>
  <si>
    <t>DESCRIPCION</t>
  </si>
  <si>
    <t>PRECIO</t>
  </si>
  <si>
    <t>ITBIS</t>
  </si>
  <si>
    <t>NETO</t>
  </si>
  <si>
    <t>$/ML</t>
  </si>
  <si>
    <t>b) Carga y descarga</t>
  </si>
  <si>
    <t>Brigada</t>
  </si>
  <si>
    <t>Ud/Dia</t>
  </si>
  <si>
    <t>C.U. =</t>
  </si>
  <si>
    <t>(1.03 x 3,437.36)/(60.00 x 0.75) x 2=</t>
  </si>
  <si>
    <t>ml</t>
  </si>
  <si>
    <t>c) Aceite vegetal para ajuste</t>
  </si>
  <si>
    <t>LT</t>
  </si>
  <si>
    <t>e)Movimiento interno</t>
  </si>
  <si>
    <t>RD$/Dia</t>
  </si>
  <si>
    <t xml:space="preserve">f)Mano de obra plomeria </t>
  </si>
  <si>
    <t>% del suministro</t>
  </si>
  <si>
    <t>g) Acarreo desde la capital camion Plataforma</t>
  </si>
  <si>
    <t>uds</t>
  </si>
  <si>
    <t>Costo Total</t>
  </si>
  <si>
    <t>RD$/UD</t>
  </si>
  <si>
    <t xml:space="preserve">Costo/ML = </t>
  </si>
  <si>
    <t>ML/UD</t>
  </si>
  <si>
    <t>RD$/ML</t>
  </si>
  <si>
    <t>MANO DE OBRA</t>
  </si>
  <si>
    <t>Codo 3" X 45° PVC SCH-40</t>
  </si>
  <si>
    <t>Codo 4" X 45° PVC SCH-40</t>
  </si>
  <si>
    <t>Hormigón Industrial 210Kg/cm2 - 10% desp</t>
  </si>
  <si>
    <t>M3</t>
  </si>
  <si>
    <t>Válvula de compuerta ø4"</t>
  </si>
  <si>
    <t>Válvula de compuerta ø3"</t>
  </si>
  <si>
    <t>Materiales</t>
  </si>
  <si>
    <t>$</t>
  </si>
  <si>
    <t>Cant</t>
  </si>
  <si>
    <t>TUBOS 4"</t>
  </si>
  <si>
    <t>TAPON HIERRO FUNDIDO</t>
  </si>
  <si>
    <t>ACOMETIDAS</t>
  </si>
  <si>
    <t>ACOMETIDAS AGUA POTABLE</t>
  </si>
  <si>
    <t xml:space="preserve">Abrazadera </t>
  </si>
  <si>
    <t>ADAPTADOR MACHO (ROSCADO A MANGUERA)</t>
  </si>
  <si>
    <t>TUBERÍA PE (DR-13.5), ALTA DENSIDAD</t>
  </si>
  <si>
    <t>ADAPTADOR HEMBRA (ROSCADO A MANGUERA)</t>
  </si>
  <si>
    <t>CAJA PLÁSTICA CON TODOS SUS COMPONENTES INTERNOS</t>
  </si>
  <si>
    <t>ADAPTADOR HEMBRA (ROSCADO A PVC)</t>
  </si>
  <si>
    <t>TUBERÍA DE PVC SCH-40</t>
  </si>
  <si>
    <t>TAPÓN HEMBRA (SI APLICA) o CONEXIÓN A TUBERÍA ACOMETIDA EXISTENTE (SI APLICA)</t>
  </si>
  <si>
    <t>VÁLVULA CHECK 1/2"</t>
  </si>
  <si>
    <t>LLAVE DE PASO DE Ø1/2" PLÁSTICA DE BOLA</t>
  </si>
  <si>
    <t>Mano de obra</t>
  </si>
  <si>
    <t>Codopvc 1/2" x 90</t>
  </si>
  <si>
    <t>CAMISA O MOLDE Ø4 H.S. 1:3:5 COMO ANCLAJE</t>
  </si>
  <si>
    <t>Manometros</t>
  </si>
  <si>
    <t>Valvula de alivio</t>
  </si>
  <si>
    <t>Valvulas de Carga y Descarga</t>
  </si>
  <si>
    <t>Bomba para mantener la presion</t>
  </si>
  <si>
    <t xml:space="preserve">Niples + Te + Reducciones + Teflon </t>
  </si>
  <si>
    <t xml:space="preserve">Tapones H.N </t>
  </si>
  <si>
    <t>Juntas Tipo Dresser</t>
  </si>
  <si>
    <t>usos</t>
  </si>
  <si>
    <t xml:space="preserve">Agua Camion </t>
  </si>
  <si>
    <t>Plomero</t>
  </si>
  <si>
    <t>Ayudantes</t>
  </si>
  <si>
    <t>COSTO UNITARIO</t>
  </si>
  <si>
    <t>PRUEBA HIDROSTATICA Ø4" Y Ø3"</t>
  </si>
  <si>
    <t>DEMOLICION ELEMENTOS HORMIGON CON COMPRESOR 185CFM 2 PISTOLAS</t>
  </si>
  <si>
    <t>Demolición elementos hormigón compresor</t>
  </si>
  <si>
    <t xml:space="preserve">Demolición compresor  </t>
  </si>
  <si>
    <t>Compresor 185CFM 2 pistolas Todo Costo</t>
  </si>
  <si>
    <t>ACERA HORMIGON E=0.10m  - HORMIGON 210KG/CM2</t>
  </si>
  <si>
    <t>M2</t>
  </si>
  <si>
    <t>Volumen Análisis</t>
  </si>
  <si>
    <t>`</t>
  </si>
  <si>
    <t>ROLLO</t>
  </si>
  <si>
    <t>Hormigón industrial 210Kg/cm2 - 10% desp</t>
  </si>
  <si>
    <t>Preparación superficie - Ayudante AY</t>
  </si>
  <si>
    <t>Mano de obra frotado y violinado</t>
  </si>
  <si>
    <t>CONTEN PULIDO DE h=0.40m - HORMIGON INDUSTRIAL 210KG/CM2</t>
  </si>
  <si>
    <t>ML</t>
  </si>
  <si>
    <t>Contén pulido b=0.50 h=0.40m - sección 0.14m2</t>
  </si>
  <si>
    <t>Plantillas en plywood 3/4" sum. y confección</t>
  </si>
  <si>
    <t>Madera pino americ. cepillado 10"x1"/20 usos</t>
  </si>
  <si>
    <t>PT</t>
  </si>
  <si>
    <t>Mano de obra contenes (madera y pulido)</t>
  </si>
  <si>
    <t>CORTE DE ASFALTO</t>
  </si>
  <si>
    <t>Suministro disco de corte diamantado</t>
  </si>
  <si>
    <t>GL</t>
  </si>
  <si>
    <t>Alquiler de cortadora</t>
  </si>
  <si>
    <t>dia</t>
  </si>
  <si>
    <t>Desperdicios, retoques y material gastable - 20%</t>
  </si>
  <si>
    <t>PA</t>
  </si>
  <si>
    <t>EXTRACCION DE ASFALTO</t>
  </si>
  <si>
    <t>M/HR</t>
  </si>
  <si>
    <t xml:space="preserve">IMPRIMACIÓN SENCILLA </t>
  </si>
  <si>
    <t>Carpeta Hormigón Asfáltico Caliente 2" con riego de imprimación RC2 0.30Gal/M2</t>
  </si>
  <si>
    <t>Riego de imprimación RC2 0.30Gal/M2 con gravilla</t>
  </si>
  <si>
    <t>SUMINISTRO Y COLOCACIÓN DE ASFALTO E=2"</t>
  </si>
  <si>
    <t>Suministro Hormigón Asfático Caliente en Planta</t>
  </si>
  <si>
    <t>Transporte Asfalto Caliente (Planta 25kms)</t>
  </si>
  <si>
    <t>M3E-KM</t>
  </si>
  <si>
    <t>Colocación y compactación Hormigón Asfáltico</t>
  </si>
  <si>
    <t xml:space="preserve">Tranporte Ida y Vuelta equipos colocación </t>
  </si>
  <si>
    <t>Factor de complejidad Distanciamiento y Manejo de Equipos</t>
  </si>
  <si>
    <t>m2</t>
  </si>
  <si>
    <t>LIMPIEZA CONTINUA Y  FINAL (OBREROS, CAMION  Y HERRAMIENTAS MENORES) CON TRAMOS DE ALTA
PENDIENTE</t>
  </si>
  <si>
    <t xml:space="preserve">m  </t>
  </si>
  <si>
    <t>Se concivio 1 Control cada 1/2 Km que incluira letrero, personal, etc)</t>
  </si>
  <si>
    <t xml:space="preserve">m </t>
  </si>
  <si>
    <t>Uso de camiojn con chofer interno</t>
  </si>
  <si>
    <t>Und</t>
  </si>
  <si>
    <t>Herramientas menores</t>
  </si>
  <si>
    <t>Hombres con Banderolas</t>
  </si>
  <si>
    <t>Dia/Hombre</t>
  </si>
  <si>
    <t>Letreros metálicos con base en angulares</t>
  </si>
  <si>
    <t>Postes para cintas refractaria</t>
  </si>
  <si>
    <t>Mechones</t>
  </si>
  <si>
    <t>Barreras de peligro naranja</t>
  </si>
  <si>
    <t xml:space="preserve"> 1 Control cada 1/2 Km que incluira letrero, personal, etc)</t>
  </si>
  <si>
    <t>Letreros tipo poste</t>
  </si>
  <si>
    <t>Letreros FIJOS</t>
  </si>
  <si>
    <t>Conos Refractarios</t>
  </si>
  <si>
    <t>Senalizacion nocturnas</t>
  </si>
  <si>
    <t>meses</t>
  </si>
  <si>
    <t>LETRERO DE OBRA</t>
  </si>
  <si>
    <t>Letrero de obra</t>
  </si>
  <si>
    <t>Arte e impresión en vilnil y colocación</t>
  </si>
  <si>
    <t>Estructura metálica todo costo</t>
  </si>
  <si>
    <t>Campamento (Incluye alquiler de casa o solar y caseta de materiales)</t>
  </si>
  <si>
    <t>Area Caseta:</t>
  </si>
  <si>
    <t>Costo:</t>
  </si>
  <si>
    <t>RD$/M2</t>
  </si>
  <si>
    <t>Costo Caseta</t>
  </si>
  <si>
    <t>Area terreno:</t>
  </si>
  <si>
    <t>Costo Total:</t>
  </si>
  <si>
    <t>RD$/Modulo</t>
  </si>
  <si>
    <t xml:space="preserve">Bote camiones volteo (arranque) </t>
  </si>
  <si>
    <t>Bote camiones volteo por Kms (Min 5kms)</t>
  </si>
  <si>
    <t>M3xKM</t>
  </si>
  <si>
    <t>viajes de 17 m3</t>
  </si>
  <si>
    <t>bote de escombros</t>
  </si>
  <si>
    <t>.</t>
  </si>
  <si>
    <t>PRESUPUESTO ORIGINAL</t>
  </si>
  <si>
    <t>No.</t>
  </si>
  <si>
    <t>PARTIDAS</t>
  </si>
  <si>
    <t>CANT.</t>
  </si>
  <si>
    <t>UNID</t>
  </si>
  <si>
    <t>P.U.</t>
  </si>
  <si>
    <t>SUB-TOTAL</t>
  </si>
  <si>
    <t>TOTAL
RD$</t>
  </si>
  <si>
    <t>REDES DISTRIBUCION</t>
  </si>
  <si>
    <r>
      <t>M</t>
    </r>
    <r>
      <rPr>
        <vertAlign val="superscript"/>
        <sz val="14"/>
        <rFont val="Times New Roman"/>
        <family val="1"/>
      </rPr>
      <t>3</t>
    </r>
  </si>
  <si>
    <r>
      <t>M</t>
    </r>
    <r>
      <rPr>
        <vertAlign val="superscript"/>
        <sz val="14"/>
        <rFont val="Times New Roman"/>
        <family val="1"/>
      </rPr>
      <t>2</t>
    </r>
  </si>
  <si>
    <r>
      <t xml:space="preserve">Suministro y colocacion de asfalto caliente + 25% desp </t>
    </r>
    <r>
      <rPr>
        <i/>
        <sz val="14"/>
        <rFont val="Times New Roman"/>
        <family val="1"/>
      </rPr>
      <t>e</t>
    </r>
    <r>
      <rPr>
        <sz val="14"/>
        <rFont val="Times New Roman"/>
        <family val="1"/>
      </rPr>
      <t>= 2" (Inc. Riego de adherencia)</t>
    </r>
  </si>
  <si>
    <r>
      <t>M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>/KM</t>
    </r>
  </si>
  <si>
    <t xml:space="preserve">SUB-TOTAL  </t>
  </si>
  <si>
    <t>GASTOS GENERALES:</t>
  </si>
  <si>
    <t>SUB-TOTAL GENERAL</t>
  </si>
  <si>
    <t xml:space="preserve">PRESUPUESTO POR EQUILIBRIO ECONOMICO  </t>
  </si>
  <si>
    <t xml:space="preserve">Notas </t>
  </si>
  <si>
    <t xml:space="preserve">Los volumenes colocados en el presupuesto de equilibrio economico deben limitarse a las pendientes por ejecutar </t>
  </si>
  <si>
    <t>Los precios establecidos en el presupuesto de equilibrio economico seran la diferencia entre el base y el actualizado</t>
  </si>
  <si>
    <t xml:space="preserve">El presupuesto EE no debe contener partidas nuevas, aumento de volumen </t>
  </si>
  <si>
    <t>SUB-TOTAL FASE B</t>
  </si>
  <si>
    <t>SUB-TOTAL FASE A</t>
  </si>
  <si>
    <t>Resolucion Ministerio de Trabajo Aumento de Mano de Obra (Adjunto)</t>
  </si>
  <si>
    <t>Cotizaciones de Insumos Actualizados (Adjunto)</t>
  </si>
  <si>
    <t>1-370</t>
  </si>
  <si>
    <t xml:space="preserve">3 OBREROS </t>
  </si>
  <si>
    <t>1 CAPATAZ</t>
  </si>
  <si>
    <t>ROLLO DE HILO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</si>
</sst>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#,##0.00;[Red]#,##0.00"/>
    <numFmt numFmtId="169" formatCode="0.0"/>
    <numFmt numFmtId="170" formatCode="0.000"/>
    <numFmt numFmtId="171" formatCode="0.0%"/>
    <numFmt numFmtId="172" formatCode="0.00_)"/>
    <numFmt numFmtId="173" formatCode="[$€]#,##0.00;[Red]\-[$€]#,##0.00"/>
    <numFmt numFmtId="174" formatCode="#."/>
    <numFmt numFmtId="175" formatCode="_-* #,##0.00\ [$€]_-;\-* #,##0.00\ [$€]_-;_-* &quot;-&quot;??\ [$€]_-;_-@_-"/>
    <numFmt numFmtId="176" formatCode="#,##0.0;\-#,##0.0"/>
    <numFmt numFmtId="177" formatCode="_-* #,##0.0000_-;\-* #,##0.0000_-;_-* &quot;-&quot;??_-;_-@_-"/>
    <numFmt numFmtId="178" formatCode="&quot;RD$&quot;#,##0.00"/>
    <numFmt numFmtId="179" formatCode="#,##0.0_);\(#,##0.0\)"/>
    <numFmt numFmtId="180" formatCode="0.00;[Red]0.00"/>
    <numFmt numFmtId="181" formatCode="_(* #,##0_);_(* \(#,##0\);_(* &quot;-&quot;??_);_(@_)"/>
    <numFmt numFmtId="182" formatCode="0.0000"/>
    <numFmt numFmtId="183" formatCode="General_)"/>
    <numFmt numFmtId="184" formatCode="#,##0.0000"/>
    <numFmt numFmtId="185" formatCode="#,##0.00000000"/>
    <numFmt numFmtId="186" formatCode="0.00000000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name val="Arial"/>
      <family val="2"/>
    </font>
    <font>
      <sz val="11"/>
      <name val="Arial"/>
      <family val="2"/>
    </font>
    <font>
      <sz val="10"/>
      <name val="Tms Rmn"/>
    </font>
    <font>
      <vertAlign val="superscript"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FF0000"/>
      <name val="Calibri"/>
      <family val="2"/>
      <scheme val="minor"/>
    </font>
    <font>
      <u/>
      <sz val="10"/>
      <color theme="10"/>
      <name val="Arial"/>
      <family val="2"/>
    </font>
    <font>
      <u/>
      <sz val="8.5"/>
      <color theme="10"/>
      <name val="Calibri"/>
      <family val="2"/>
      <scheme val="minor"/>
    </font>
    <font>
      <i/>
      <sz val="8.5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u val="singleAccounting"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color indexed="64"/>
      <name val="Arial"/>
      <family val="2"/>
    </font>
    <font>
      <sz val="14"/>
      <color rgb="FFFF000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vertAlign val="superscript"/>
      <sz val="14"/>
      <name val="Times New Roman"/>
      <family val="1"/>
    </font>
    <font>
      <i/>
      <sz val="14"/>
      <name val="Times New Roman"/>
      <family val="1"/>
    </font>
    <font>
      <b/>
      <sz val="14"/>
      <color rgb="FFFF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5" applyNumberFormat="0" applyAlignment="0" applyProtection="0"/>
    <xf numFmtId="0" fontId="8" fillId="21" borderId="6" applyNumberFormat="0" applyAlignment="0" applyProtection="0"/>
    <xf numFmtId="17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4" fontId="11" fillId="0" borderId="0">
      <protection locked="0"/>
    </xf>
    <xf numFmtId="174" fontId="12" fillId="0" borderId="0">
      <protection locked="0"/>
    </xf>
    <xf numFmtId="174" fontId="12" fillId="0" borderId="0">
      <protection locked="0"/>
    </xf>
    <xf numFmtId="174" fontId="12" fillId="0" borderId="0">
      <protection locked="0"/>
    </xf>
    <xf numFmtId="174" fontId="12" fillId="0" borderId="0">
      <protection locked="0"/>
    </xf>
    <xf numFmtId="174" fontId="12" fillId="0" borderId="0">
      <protection locked="0"/>
    </xf>
    <xf numFmtId="174" fontId="12" fillId="0" borderId="0">
      <protection locked="0"/>
    </xf>
    <xf numFmtId="0" fontId="13" fillId="4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5" applyNumberFormat="0" applyAlignment="0" applyProtection="0"/>
    <xf numFmtId="0" fontId="18" fillId="0" borderId="10" applyNumberFormat="0" applyFill="0" applyAlignment="0" applyProtection="0"/>
    <xf numFmtId="0" fontId="2" fillId="22" borderId="11" applyNumberFormat="0" applyFont="0" applyAlignment="0" applyProtection="0"/>
    <xf numFmtId="0" fontId="19" fillId="20" borderId="1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3" fillId="0" borderId="0"/>
    <xf numFmtId="172" fontId="24" fillId="0" borderId="0"/>
    <xf numFmtId="0" fontId="3" fillId="0" borderId="0"/>
    <xf numFmtId="0" fontId="3" fillId="0" borderId="0"/>
    <xf numFmtId="39" fontId="25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/>
    <xf numFmtId="17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39" fontId="25" fillId="0" borderId="0"/>
    <xf numFmtId="0" fontId="2" fillId="0" borderId="0"/>
    <xf numFmtId="164" fontId="2" fillId="0" borderId="0" applyFont="0" applyFill="0" applyBorder="0" applyAlignment="0" applyProtection="0"/>
  </cellStyleXfs>
  <cellXfs count="363">
    <xf numFmtId="0" fontId="0" fillId="0" borderId="0" xfId="0"/>
    <xf numFmtId="0" fontId="27" fillId="0" borderId="0" xfId="69" applyFont="1"/>
    <xf numFmtId="4" fontId="27" fillId="0" borderId="0" xfId="69" applyNumberFormat="1" applyFont="1"/>
    <xf numFmtId="2" fontId="27" fillId="0" borderId="0" xfId="69" applyNumberFormat="1" applyFont="1"/>
    <xf numFmtId="165" fontId="27" fillId="0" borderId="0" xfId="69" applyNumberFormat="1" applyFont="1"/>
    <xf numFmtId="39" fontId="27" fillId="0" borderId="0" xfId="69" applyNumberFormat="1" applyFont="1"/>
    <xf numFmtId="4" fontId="31" fillId="0" borderId="0" xfId="69" applyNumberFormat="1" applyFont="1"/>
    <xf numFmtId="0" fontId="31" fillId="0" borderId="0" xfId="69" applyFont="1"/>
    <xf numFmtId="4" fontId="27" fillId="0" borderId="0" xfId="69" applyNumberFormat="1" applyFont="1" applyAlignment="1">
      <alignment vertical="center"/>
    </xf>
    <xf numFmtId="168" fontId="27" fillId="0" borderId="0" xfId="69" applyNumberFormat="1" applyFont="1"/>
    <xf numFmtId="43" fontId="27" fillId="23" borderId="0" xfId="70" applyFont="1" applyFill="1" applyBorder="1"/>
    <xf numFmtId="43" fontId="27" fillId="23" borderId="0" xfId="70" applyFont="1" applyFill="1" applyBorder="1" applyAlignment="1">
      <alignment horizontal="center"/>
    </xf>
    <xf numFmtId="0" fontId="27" fillId="23" borderId="0" xfId="69" applyFont="1" applyFill="1"/>
    <xf numFmtId="0" fontId="27" fillId="0" borderId="0" xfId="69" applyFont="1" applyProtection="1">
      <protection locked="0"/>
    </xf>
    <xf numFmtId="14" fontId="27" fillId="0" borderId="0" xfId="69" applyNumberFormat="1" applyFont="1" applyAlignment="1" applyProtection="1">
      <alignment horizontal="left"/>
      <protection locked="0"/>
    </xf>
    <xf numFmtId="0" fontId="27" fillId="0" borderId="0" xfId="69" applyFont="1" applyAlignment="1" applyProtection="1">
      <alignment horizontal="left" vertical="top"/>
      <protection locked="0"/>
    </xf>
    <xf numFmtId="0" fontId="26" fillId="0" borderId="3" xfId="69" applyFont="1" applyBorder="1" applyAlignment="1" applyProtection="1">
      <alignment horizontal="center"/>
      <protection locked="0"/>
    </xf>
    <xf numFmtId="0" fontId="26" fillId="0" borderId="13" xfId="69" applyFont="1" applyBorder="1" applyAlignment="1" applyProtection="1">
      <alignment horizontal="center"/>
      <protection locked="0"/>
    </xf>
    <xf numFmtId="168" fontId="27" fillId="23" borderId="1" xfId="69" applyNumberFormat="1" applyFont="1" applyFill="1" applyBorder="1" applyProtection="1">
      <protection locked="0"/>
    </xf>
    <xf numFmtId="168" fontId="26" fillId="23" borderId="1" xfId="69" applyNumberFormat="1" applyFont="1" applyFill="1" applyBorder="1" applyProtection="1">
      <protection locked="0"/>
    </xf>
    <xf numFmtId="4" fontId="27" fillId="0" borderId="1" xfId="92" applyNumberFormat="1" applyFont="1" applyFill="1" applyBorder="1" applyAlignment="1" applyProtection="1">
      <alignment horizontal="right" vertical="top" wrapText="1"/>
      <protection locked="0"/>
    </xf>
    <xf numFmtId="0" fontId="27" fillId="0" borderId="1" xfId="69" applyFont="1" applyBorder="1" applyProtection="1">
      <protection locked="0"/>
    </xf>
    <xf numFmtId="168" fontId="27" fillId="24" borderId="1" xfId="69" applyNumberFormat="1" applyFont="1" applyFill="1" applyBorder="1" applyProtection="1">
      <protection locked="0"/>
    </xf>
    <xf numFmtId="168" fontId="26" fillId="24" borderId="1" xfId="69" applyNumberFormat="1" applyFont="1" applyFill="1" applyBorder="1" applyProtection="1">
      <protection locked="0"/>
    </xf>
    <xf numFmtId="169" fontId="26" fillId="23" borderId="1" xfId="69" applyNumberFormat="1" applyFont="1" applyFill="1" applyBorder="1" applyAlignment="1" applyProtection="1">
      <alignment horizontal="right"/>
      <protection locked="0"/>
    </xf>
    <xf numFmtId="169" fontId="26" fillId="23" borderId="1" xfId="69" applyNumberFormat="1" applyFont="1" applyFill="1" applyBorder="1" applyAlignment="1" applyProtection="1">
      <alignment horizontal="right" vertical="center"/>
      <protection locked="0"/>
    </xf>
    <xf numFmtId="4" fontId="27" fillId="23" borderId="1" xfId="69" applyNumberFormat="1" applyFont="1" applyFill="1" applyBorder="1" applyAlignment="1" applyProtection="1">
      <alignment horizontal="right"/>
      <protection locked="0"/>
    </xf>
    <xf numFmtId="168" fontId="27" fillId="25" borderId="1" xfId="69" applyNumberFormat="1" applyFont="1" applyFill="1" applyBorder="1" applyProtection="1">
      <protection locked="0"/>
    </xf>
    <xf numFmtId="168" fontId="26" fillId="25" borderId="1" xfId="69" applyNumberFormat="1" applyFont="1" applyFill="1" applyBorder="1" applyProtection="1">
      <protection locked="0"/>
    </xf>
    <xf numFmtId="168" fontId="27" fillId="25" borderId="2" xfId="69" applyNumberFormat="1" applyFont="1" applyFill="1" applyBorder="1" applyProtection="1">
      <protection locked="0"/>
    </xf>
    <xf numFmtId="168" fontId="26" fillId="25" borderId="2" xfId="69" applyNumberFormat="1" applyFont="1" applyFill="1" applyBorder="1" applyProtection="1">
      <protection locked="0"/>
    </xf>
    <xf numFmtId="4" fontId="31" fillId="0" borderId="1" xfId="92" applyNumberFormat="1" applyFont="1" applyFill="1" applyBorder="1" applyAlignment="1" applyProtection="1">
      <alignment horizontal="right" vertical="top" wrapText="1"/>
    </xf>
    <xf numFmtId="2" fontId="2" fillId="0" borderId="0" xfId="93" applyNumberFormat="1" applyFont="1" applyBorder="1"/>
    <xf numFmtId="2" fontId="2" fillId="0" borderId="0" xfId="93" applyNumberFormat="1" applyFont="1" applyFill="1" applyBorder="1"/>
    <xf numFmtId="2" fontId="2" fillId="0" borderId="0" xfId="93" applyNumberFormat="1" applyFont="1" applyBorder="1" applyAlignment="1">
      <alignment horizontal="right"/>
    </xf>
    <xf numFmtId="2" fontId="36" fillId="0" borderId="0" xfId="93" applyNumberFormat="1" applyFont="1" applyBorder="1"/>
    <xf numFmtId="0" fontId="41" fillId="0" borderId="0" xfId="94" applyFont="1" applyBorder="1"/>
    <xf numFmtId="169" fontId="48" fillId="23" borderId="0" xfId="92" applyNumberFormat="1" applyFont="1" applyFill="1" applyBorder="1" applyAlignment="1" applyProtection="1">
      <alignment horizontal="right" vertical="top" wrapText="1"/>
    </xf>
    <xf numFmtId="4" fontId="2" fillId="23" borderId="0" xfId="71" applyNumberFormat="1" applyFont="1" applyFill="1" applyBorder="1" applyAlignment="1" applyProtection="1">
      <alignment horizontal="right" vertical="top" wrapText="1"/>
      <protection locked="0"/>
    </xf>
    <xf numFmtId="4" fontId="31" fillId="0" borderId="0" xfId="92" applyNumberFormat="1" applyFont="1" applyFill="1" applyBorder="1" applyAlignment="1" applyProtection="1">
      <alignment horizontal="right" vertical="top" wrapText="1"/>
    </xf>
    <xf numFmtId="165" fontId="2" fillId="23" borderId="0" xfId="93" applyFont="1" applyFill="1" applyBorder="1" applyAlignment="1" applyProtection="1">
      <alignment vertical="center"/>
      <protection locked="0"/>
    </xf>
    <xf numFmtId="4" fontId="2" fillId="23" borderId="0" xfId="68" applyNumberFormat="1" applyFont="1" applyFill="1" applyBorder="1" applyAlignment="1" applyProtection="1">
      <alignment horizontal="right" vertical="top" wrapText="1"/>
    </xf>
    <xf numFmtId="165" fontId="0" fillId="0" borderId="0" xfId="81" applyFont="1" applyBorder="1"/>
    <xf numFmtId="0" fontId="26" fillId="0" borderId="0" xfId="69" applyFont="1" applyAlignment="1">
      <alignment horizontal="center"/>
    </xf>
    <xf numFmtId="0" fontId="58" fillId="0" borderId="14" xfId="87" applyFont="1" applyBorder="1" applyAlignment="1">
      <alignment horizontal="center" vertical="center"/>
    </xf>
    <xf numFmtId="0" fontId="58" fillId="0" borderId="15" xfId="87" applyFont="1" applyBorder="1" applyAlignment="1">
      <alignment horizontal="center" vertical="center"/>
    </xf>
    <xf numFmtId="4" fontId="58" fillId="0" borderId="15" xfId="70" applyNumberFormat="1" applyFont="1" applyFill="1" applyBorder="1" applyAlignment="1">
      <alignment horizontal="right" vertical="center"/>
    </xf>
    <xf numFmtId="4" fontId="58" fillId="0" borderId="15" xfId="70" applyNumberFormat="1" applyFont="1" applyFill="1" applyBorder="1" applyAlignment="1">
      <alignment horizontal="center" vertical="center" wrapText="1"/>
    </xf>
    <xf numFmtId="4" fontId="58" fillId="0" borderId="16" xfId="70" applyNumberFormat="1" applyFont="1" applyFill="1" applyBorder="1" applyAlignment="1">
      <alignment horizontal="center" vertical="center"/>
    </xf>
    <xf numFmtId="4" fontId="58" fillId="0" borderId="17" xfId="70" applyNumberFormat="1" applyFont="1" applyBorder="1" applyAlignment="1">
      <alignment horizontal="center" vertical="center" wrapText="1"/>
    </xf>
    <xf numFmtId="49" fontId="59" fillId="0" borderId="3" xfId="87" applyNumberFormat="1" applyFont="1" applyBorder="1" applyAlignment="1">
      <alignment horizontal="left" vertical="center" wrapText="1"/>
    </xf>
    <xf numFmtId="4" fontId="58" fillId="27" borderId="19" xfId="70" applyNumberFormat="1" applyFont="1" applyFill="1" applyBorder="1" applyAlignment="1">
      <alignment horizontal="right" vertical="center"/>
    </xf>
    <xf numFmtId="0" fontId="59" fillId="0" borderId="3" xfId="87" applyFont="1" applyBorder="1" applyAlignment="1">
      <alignment horizontal="center" vertical="center" wrapText="1"/>
    </xf>
    <xf numFmtId="0" fontId="59" fillId="0" borderId="3" xfId="87" applyFont="1" applyBorder="1" applyAlignment="1">
      <alignment horizontal="left" vertical="center" wrapText="1"/>
    </xf>
    <xf numFmtId="0" fontId="59" fillId="0" borderId="3" xfId="87" applyFont="1" applyBorder="1" applyAlignment="1">
      <alignment horizontal="right" vertical="center" wrapText="1"/>
    </xf>
    <xf numFmtId="169" fontId="59" fillId="0" borderId="18" xfId="87" applyNumberFormat="1" applyFont="1" applyBorder="1" applyAlignment="1">
      <alignment horizontal="center" vertical="center"/>
    </xf>
    <xf numFmtId="183" fontId="59" fillId="0" borderId="2" xfId="87" applyNumberFormat="1" applyFont="1" applyBorder="1" applyAlignment="1">
      <alignment horizontal="left" vertical="center"/>
    </xf>
    <xf numFmtId="0" fontId="59" fillId="27" borderId="20" xfId="87" applyFont="1" applyFill="1" applyBorder="1" applyAlignment="1">
      <alignment horizontal="center" vertical="center"/>
    </xf>
    <xf numFmtId="0" fontId="58" fillId="27" borderId="21" xfId="87" applyFont="1" applyFill="1" applyBorder="1" applyAlignment="1">
      <alignment horizontal="left" vertical="center"/>
    </xf>
    <xf numFmtId="4" fontId="58" fillId="27" borderId="22" xfId="70" applyNumberFormat="1" applyFont="1" applyFill="1" applyBorder="1" applyAlignment="1">
      <alignment horizontal="right" vertical="center"/>
    </xf>
    <xf numFmtId="4" fontId="58" fillId="27" borderId="21" xfId="70" applyNumberFormat="1" applyFont="1" applyFill="1" applyBorder="1" applyAlignment="1">
      <alignment horizontal="right" vertical="center"/>
    </xf>
    <xf numFmtId="49" fontId="58" fillId="27" borderId="21" xfId="70" applyNumberFormat="1" applyFont="1" applyFill="1" applyBorder="1" applyAlignment="1">
      <alignment horizontal="center" vertical="center"/>
    </xf>
    <xf numFmtId="4" fontId="59" fillId="27" borderId="21" xfId="70" applyNumberFormat="1" applyFont="1" applyFill="1" applyBorder="1" applyAlignment="1">
      <alignment horizontal="right" vertical="center"/>
    </xf>
    <xf numFmtId="0" fontId="59" fillId="0" borderId="0" xfId="87" applyFont="1" applyAlignment="1">
      <alignment vertical="center" wrapText="1"/>
    </xf>
    <xf numFmtId="4" fontId="59" fillId="0" borderId="0" xfId="70" applyNumberFormat="1" applyFont="1" applyFill="1" applyBorder="1" applyAlignment="1">
      <alignment horizontal="right" vertical="center"/>
    </xf>
    <xf numFmtId="43" fontId="59" fillId="0" borderId="0" xfId="70" applyFont="1" applyFill="1" applyBorder="1" applyAlignment="1">
      <alignment horizontal="center" vertical="center"/>
    </xf>
    <xf numFmtId="0" fontId="58" fillId="0" borderId="0" xfId="87" applyFont="1" applyAlignment="1">
      <alignment vertical="center"/>
    </xf>
    <xf numFmtId="4" fontId="59" fillId="0" borderId="0" xfId="86" applyNumberFormat="1" applyFont="1" applyAlignment="1">
      <alignment horizontal="right" vertical="center"/>
    </xf>
    <xf numFmtId="0" fontId="59" fillId="0" borderId="0" xfId="87" applyFont="1" applyAlignment="1">
      <alignment horizontal="center" vertical="center"/>
    </xf>
    <xf numFmtId="4" fontId="59" fillId="0" borderId="0" xfId="70" applyNumberFormat="1" applyFont="1" applyAlignment="1">
      <alignment horizontal="right" vertical="center"/>
    </xf>
    <xf numFmtId="0" fontId="59" fillId="0" borderId="0" xfId="87" applyFont="1" applyAlignment="1">
      <alignment vertical="center"/>
    </xf>
    <xf numFmtId="10" fontId="59" fillId="0" borderId="0" xfId="86" applyNumberFormat="1" applyFont="1" applyAlignment="1">
      <alignment horizontal="center" vertical="center"/>
    </xf>
    <xf numFmtId="4" fontId="58" fillId="0" borderId="0" xfId="70" applyNumberFormat="1" applyFont="1" applyAlignment="1">
      <alignment horizontal="right" vertical="center"/>
    </xf>
    <xf numFmtId="0" fontId="58" fillId="0" borderId="0" xfId="87" applyFont="1" applyAlignment="1">
      <alignment horizontal="center" vertical="center"/>
    </xf>
    <xf numFmtId="0" fontId="59" fillId="0" borderId="20" xfId="87" applyFont="1" applyBorder="1" applyAlignment="1">
      <alignment horizontal="center" vertical="center"/>
    </xf>
    <xf numFmtId="4" fontId="59" fillId="0" borderId="21" xfId="70" applyNumberFormat="1" applyFont="1" applyBorder="1" applyAlignment="1">
      <alignment horizontal="right" vertical="center"/>
    </xf>
    <xf numFmtId="4" fontId="58" fillId="0" borderId="22" xfId="70" applyNumberFormat="1" applyFont="1" applyBorder="1" applyAlignment="1">
      <alignment horizontal="right" vertical="center"/>
    </xf>
    <xf numFmtId="0" fontId="59" fillId="0" borderId="0" xfId="87" applyFont="1" applyAlignment="1">
      <alignment horizontal="right" vertical="center"/>
    </xf>
    <xf numFmtId="4" fontId="58" fillId="0" borderId="0" xfId="87" applyNumberFormat="1" applyFont="1" applyAlignment="1">
      <alignment vertical="center"/>
    </xf>
    <xf numFmtId="4" fontId="59" fillId="0" borderId="0" xfId="87" applyNumberFormat="1" applyFont="1" applyAlignment="1">
      <alignment horizontal="center" vertical="center"/>
    </xf>
    <xf numFmtId="4" fontId="56" fillId="0" borderId="0" xfId="70" applyNumberFormat="1" applyFont="1" applyAlignment="1">
      <alignment horizontal="right" vertical="center"/>
    </xf>
    <xf numFmtId="0" fontId="56" fillId="0" borderId="0" xfId="87" applyFont="1" applyAlignment="1">
      <alignment horizontal="center" vertical="center"/>
    </xf>
    <xf numFmtId="0" fontId="56" fillId="0" borderId="0" xfId="87" applyFont="1" applyAlignment="1">
      <alignment vertical="center"/>
    </xf>
    <xf numFmtId="0" fontId="58" fillId="0" borderId="3" xfId="87" applyFont="1" applyBorder="1" applyAlignment="1">
      <alignment horizontal="center" vertical="center" wrapText="1"/>
    </xf>
    <xf numFmtId="0" fontId="58" fillId="0" borderId="3" xfId="87" applyFont="1" applyBorder="1" applyAlignment="1">
      <alignment horizontal="left" vertical="center" wrapText="1"/>
    </xf>
    <xf numFmtId="0" fontId="58" fillId="0" borderId="3" xfId="87" applyFont="1" applyBorder="1" applyAlignment="1">
      <alignment horizontal="right" vertical="center" wrapText="1"/>
    </xf>
    <xf numFmtId="49" fontId="58" fillId="0" borderId="3" xfId="87" applyNumberFormat="1" applyFont="1" applyBorder="1" applyAlignment="1">
      <alignment horizontal="left" vertical="center" wrapText="1"/>
    </xf>
    <xf numFmtId="0" fontId="26" fillId="0" borderId="3" xfId="69" applyFont="1" applyBorder="1" applyAlignment="1">
      <alignment horizontal="center"/>
    </xf>
    <xf numFmtId="0" fontId="26" fillId="0" borderId="13" xfId="69" applyFont="1" applyBorder="1" applyAlignment="1">
      <alignment horizontal="center"/>
    </xf>
    <xf numFmtId="0" fontId="26" fillId="23" borderId="1" xfId="69" applyFont="1" applyFill="1" applyBorder="1" applyAlignment="1">
      <alignment horizontal="center"/>
    </xf>
    <xf numFmtId="0" fontId="26" fillId="23" borderId="1" xfId="69" applyFont="1" applyFill="1" applyBorder="1" applyAlignment="1">
      <alignment horizontal="left" vertical="top"/>
    </xf>
    <xf numFmtId="168" fontId="27" fillId="23" borderId="1" xfId="69" applyNumberFormat="1" applyFont="1" applyFill="1" applyBorder="1"/>
    <xf numFmtId="168" fontId="27" fillId="23" borderId="1" xfId="69" applyNumberFormat="1" applyFont="1" applyFill="1" applyBorder="1" applyAlignment="1">
      <alignment horizontal="center"/>
    </xf>
    <xf numFmtId="0" fontId="27" fillId="23" borderId="1" xfId="69" applyFont="1" applyFill="1" applyBorder="1" applyAlignment="1">
      <alignment horizontal="center"/>
    </xf>
    <xf numFmtId="0" fontId="27" fillId="23" borderId="1" xfId="69" applyFont="1" applyFill="1" applyBorder="1" applyAlignment="1">
      <alignment horizontal="left" vertical="top"/>
    </xf>
    <xf numFmtId="0" fontId="26" fillId="0" borderId="1" xfId="69" applyFont="1" applyBorder="1" applyAlignment="1">
      <alignment vertical="top"/>
    </xf>
    <xf numFmtId="0" fontId="26" fillId="0" borderId="1" xfId="69" applyFont="1" applyBorder="1" applyAlignment="1">
      <alignment horizontal="left" vertical="top"/>
    </xf>
    <xf numFmtId="0" fontId="27" fillId="0" borderId="1" xfId="69" applyFont="1" applyBorder="1" applyAlignment="1">
      <alignment vertical="top"/>
    </xf>
    <xf numFmtId="0" fontId="27" fillId="0" borderId="1" xfId="69" applyFont="1" applyBorder="1" applyAlignment="1">
      <alignment horizontal="left" vertical="top"/>
    </xf>
    <xf numFmtId="168" fontId="27" fillId="0" borderId="1" xfId="69" applyNumberFormat="1" applyFont="1" applyBorder="1"/>
    <xf numFmtId="168" fontId="27" fillId="0" borderId="1" xfId="69" applyNumberFormat="1" applyFont="1" applyBorder="1" applyAlignment="1">
      <alignment horizontal="center"/>
    </xf>
    <xf numFmtId="168" fontId="27" fillId="0" borderId="1" xfId="69" applyNumberFormat="1" applyFont="1" applyBorder="1" applyProtection="1">
      <protection locked="0"/>
    </xf>
    <xf numFmtId="168" fontId="27" fillId="0" borderId="1" xfId="69" applyNumberFormat="1" applyFont="1" applyBorder="1" applyAlignment="1" applyProtection="1">
      <alignment vertical="center"/>
      <protection locked="0"/>
    </xf>
    <xf numFmtId="168" fontId="27" fillId="0" borderId="1" xfId="69" applyNumberFormat="1" applyFont="1" applyBorder="1" applyAlignment="1">
      <alignment horizontal="center" vertical="center"/>
    </xf>
    <xf numFmtId="0" fontId="27" fillId="0" borderId="1" xfId="69" applyFont="1" applyBorder="1" applyAlignment="1">
      <alignment horizontal="left" vertical="top" wrapText="1"/>
    </xf>
    <xf numFmtId="168" fontId="27" fillId="0" borderId="1" xfId="69" applyNumberFormat="1" applyFont="1" applyBorder="1" applyAlignment="1">
      <alignment vertical="center"/>
    </xf>
    <xf numFmtId="0" fontId="27" fillId="0" borderId="1" xfId="69" applyFont="1" applyBorder="1" applyAlignment="1">
      <alignment horizontal="left" vertical="center" wrapText="1"/>
    </xf>
    <xf numFmtId="0" fontId="30" fillId="0" borderId="1" xfId="69" applyFont="1" applyBorder="1" applyAlignment="1">
      <alignment vertical="top"/>
    </xf>
    <xf numFmtId="0" fontId="30" fillId="0" borderId="1" xfId="69" applyFont="1" applyBorder="1" applyAlignment="1">
      <alignment horizontal="left" vertical="top" wrapText="1"/>
    </xf>
    <xf numFmtId="168" fontId="31" fillId="0" borderId="1" xfId="69" applyNumberFormat="1" applyFont="1" applyBorder="1" applyAlignment="1">
      <alignment vertical="center"/>
    </xf>
    <xf numFmtId="168" fontId="31" fillId="0" borderId="1" xfId="69" applyNumberFormat="1" applyFont="1" applyBorder="1" applyAlignment="1">
      <alignment horizontal="center" vertical="center"/>
    </xf>
    <xf numFmtId="168" fontId="31" fillId="0" borderId="1" xfId="69" applyNumberFormat="1" applyFont="1" applyBorder="1" applyProtection="1">
      <protection locked="0"/>
    </xf>
    <xf numFmtId="0" fontId="31" fillId="0" borderId="1" xfId="69" applyFont="1" applyBorder="1" applyAlignment="1">
      <alignment vertical="top" wrapText="1"/>
    </xf>
    <xf numFmtId="0" fontId="31" fillId="0" borderId="1" xfId="0" applyFont="1" applyBorder="1" applyAlignment="1">
      <alignment vertical="center" wrapText="1"/>
    </xf>
    <xf numFmtId="168" fontId="31" fillId="0" borderId="1" xfId="69" applyNumberFormat="1" applyFont="1" applyBorder="1" applyAlignment="1">
      <alignment vertical="center" wrapText="1"/>
    </xf>
    <xf numFmtId="168" fontId="27" fillId="0" borderId="1" xfId="69" applyNumberFormat="1" applyFont="1" applyBorder="1" applyAlignment="1">
      <alignment vertical="center" wrapText="1"/>
    </xf>
    <xf numFmtId="168" fontId="27" fillId="0" borderId="1" xfId="69" applyNumberFormat="1" applyFont="1" applyBorder="1" applyAlignment="1">
      <alignment vertical="top" wrapText="1"/>
    </xf>
    <xf numFmtId="2" fontId="31" fillId="0" borderId="1" xfId="69" applyNumberFormat="1" applyFont="1" applyBorder="1" applyAlignment="1">
      <alignment vertical="top" wrapText="1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27" fillId="0" borderId="2" xfId="69" applyFont="1" applyBorder="1" applyAlignment="1">
      <alignment vertical="top"/>
    </xf>
    <xf numFmtId="0" fontId="27" fillId="0" borderId="2" xfId="69" applyFont="1" applyBorder="1" applyAlignment="1">
      <alignment horizontal="left" vertical="top"/>
    </xf>
    <xf numFmtId="168" fontId="27" fillId="0" borderId="2" xfId="69" applyNumberFormat="1" applyFont="1" applyBorder="1"/>
    <xf numFmtId="168" fontId="27" fillId="0" borderId="2" xfId="69" applyNumberFormat="1" applyFont="1" applyBorder="1" applyAlignment="1">
      <alignment horizontal="center"/>
    </xf>
    <xf numFmtId="168" fontId="27" fillId="0" borderId="2" xfId="69" applyNumberFormat="1" applyFont="1" applyBorder="1" applyProtection="1">
      <protection locked="0"/>
    </xf>
    <xf numFmtId="0" fontId="26" fillId="0" borderId="1" xfId="69" applyFont="1" applyBorder="1" applyAlignment="1">
      <alignment horizontal="left" vertical="top" wrapText="1"/>
    </xf>
    <xf numFmtId="0" fontId="26" fillId="0" borderId="1" xfId="0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/>
    </xf>
    <xf numFmtId="168" fontId="27" fillId="0" borderId="1" xfId="0" applyNumberFormat="1" applyFont="1" applyBorder="1" applyAlignment="1">
      <alignment horizontal="right" vertical="top"/>
    </xf>
    <xf numFmtId="2" fontId="27" fillId="0" borderId="1" xfId="0" applyNumberFormat="1" applyFont="1" applyBorder="1" applyAlignment="1">
      <alignment horizontal="center" vertical="top"/>
    </xf>
    <xf numFmtId="165" fontId="27" fillId="0" borderId="1" xfId="0" applyNumberFormat="1" applyFont="1" applyBorder="1" applyAlignment="1" applyProtection="1">
      <alignment vertical="top"/>
      <protection locked="0"/>
    </xf>
    <xf numFmtId="169" fontId="27" fillId="0" borderId="1" xfId="0" applyNumberFormat="1" applyFont="1" applyBorder="1" applyAlignment="1">
      <alignment horizontal="right" vertical="top" wrapText="1"/>
    </xf>
    <xf numFmtId="0" fontId="27" fillId="0" borderId="1" xfId="91" applyFont="1" applyBorder="1" applyAlignment="1">
      <alignment horizontal="left" vertical="top" wrapText="1"/>
    </xf>
    <xf numFmtId="2" fontId="33" fillId="0" borderId="1" xfId="0" applyNumberFormat="1" applyFont="1" applyBorder="1" applyAlignment="1">
      <alignment horizontal="center" vertical="top"/>
    </xf>
    <xf numFmtId="168" fontId="27" fillId="0" borderId="1" xfId="69" applyNumberFormat="1" applyFont="1" applyBorder="1" applyAlignment="1">
      <alignment vertical="top"/>
    </xf>
    <xf numFmtId="168" fontId="27" fillId="0" borderId="1" xfId="69" applyNumberFormat="1" applyFont="1" applyBorder="1" applyAlignment="1">
      <alignment horizontal="center" vertical="top"/>
    </xf>
    <xf numFmtId="168" fontId="27" fillId="0" borderId="1" xfId="69" applyNumberFormat="1" applyFont="1" applyBorder="1" applyAlignment="1" applyProtection="1">
      <alignment vertical="top"/>
      <protection locked="0"/>
    </xf>
    <xf numFmtId="0" fontId="27" fillId="0" borderId="1" xfId="69" applyFont="1" applyBorder="1"/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168" fontId="27" fillId="0" borderId="2" xfId="69" applyNumberFormat="1" applyFont="1" applyBorder="1" applyAlignment="1">
      <alignment vertical="center"/>
    </xf>
    <xf numFmtId="168" fontId="27" fillId="0" borderId="2" xfId="69" applyNumberFormat="1" applyFont="1" applyBorder="1" applyAlignment="1">
      <alignment horizontal="center" vertical="center"/>
    </xf>
    <xf numFmtId="168" fontId="27" fillId="0" borderId="2" xfId="69" applyNumberFormat="1" applyFont="1" applyBorder="1" applyAlignment="1" applyProtection="1">
      <alignment vertical="center"/>
      <protection locked="0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top" wrapText="1"/>
    </xf>
    <xf numFmtId="0" fontId="27" fillId="24" borderId="1" xfId="69" applyFont="1" applyFill="1" applyBorder="1" applyAlignment="1">
      <alignment horizontal="right"/>
    </xf>
    <xf numFmtId="0" fontId="26" fillId="24" borderId="1" xfId="69" applyFont="1" applyFill="1" applyBorder="1" applyAlignment="1">
      <alignment horizontal="center"/>
    </xf>
    <xf numFmtId="168" fontId="27" fillId="24" borderId="1" xfId="69" applyNumberFormat="1" applyFont="1" applyFill="1" applyBorder="1"/>
    <xf numFmtId="168" fontId="27" fillId="24" borderId="1" xfId="69" applyNumberFormat="1" applyFont="1" applyFill="1" applyBorder="1" applyAlignment="1">
      <alignment horizontal="center"/>
    </xf>
    <xf numFmtId="0" fontId="27" fillId="23" borderId="1" xfId="69" applyFont="1" applyFill="1" applyBorder="1" applyAlignment="1">
      <alignment horizontal="right"/>
    </xf>
    <xf numFmtId="0" fontId="27" fillId="0" borderId="1" xfId="69" applyFont="1" applyBorder="1" applyAlignment="1">
      <alignment horizontal="right" vertical="top"/>
    </xf>
    <xf numFmtId="0" fontId="27" fillId="0" borderId="1" xfId="69" applyFont="1" applyBorder="1" applyAlignment="1">
      <alignment horizontal="right"/>
    </xf>
    <xf numFmtId="0" fontId="27" fillId="0" borderId="1" xfId="69" applyFont="1" applyBorder="1" applyAlignment="1">
      <alignment horizontal="left"/>
    </xf>
    <xf numFmtId="0" fontId="27" fillId="23" borderId="1" xfId="69" applyFont="1" applyFill="1" applyBorder="1" applyAlignment="1">
      <alignment horizontal="left"/>
    </xf>
    <xf numFmtId="0" fontId="26" fillId="24" borderId="1" xfId="69" applyFont="1" applyFill="1" applyBorder="1" applyAlignment="1">
      <alignment horizontal="right"/>
    </xf>
    <xf numFmtId="0" fontId="26" fillId="0" borderId="1" xfId="69" applyFont="1" applyBorder="1" applyAlignment="1">
      <alignment horizontal="center"/>
    </xf>
    <xf numFmtId="168" fontId="26" fillId="0" borderId="1" xfId="69" applyNumberFormat="1" applyFont="1" applyBorder="1" applyProtection="1">
      <protection locked="0"/>
    </xf>
    <xf numFmtId="169" fontId="26" fillId="23" borderId="1" xfId="69" applyNumberFormat="1" applyFont="1" applyFill="1" applyBorder="1" applyAlignment="1">
      <alignment horizontal="right"/>
    </xf>
    <xf numFmtId="0" fontId="32" fillId="23" borderId="1" xfId="0" applyFont="1" applyFill="1" applyBorder="1" applyAlignment="1">
      <alignment horizontal="right" vertical="center"/>
    </xf>
    <xf numFmtId="171" fontId="27" fillId="23" borderId="1" xfId="69" applyNumberFormat="1" applyFont="1" applyFill="1" applyBorder="1"/>
    <xf numFmtId="0" fontId="27" fillId="23" borderId="1" xfId="0" applyFont="1" applyFill="1" applyBorder="1" applyAlignment="1">
      <alignment horizontal="right" vertical="center"/>
    </xf>
    <xf numFmtId="169" fontId="27" fillId="23" borderId="1" xfId="69" applyNumberFormat="1" applyFont="1" applyFill="1" applyBorder="1" applyAlignment="1">
      <alignment horizontal="right"/>
    </xf>
    <xf numFmtId="0" fontId="27" fillId="23" borderId="1" xfId="0" applyFont="1" applyFill="1" applyBorder="1" applyAlignment="1">
      <alignment horizontal="right" vertical="center" wrapText="1"/>
    </xf>
    <xf numFmtId="171" fontId="27" fillId="23" borderId="1" xfId="69" applyNumberFormat="1" applyFont="1" applyFill="1" applyBorder="1" applyAlignment="1">
      <alignment vertical="center"/>
    </xf>
    <xf numFmtId="169" fontId="26" fillId="23" borderId="1" xfId="69" applyNumberFormat="1" applyFont="1" applyFill="1" applyBorder="1" applyAlignment="1">
      <alignment horizontal="right" vertical="center"/>
    </xf>
    <xf numFmtId="0" fontId="27" fillId="23" borderId="0" xfId="0" applyFont="1" applyFill="1" applyAlignment="1">
      <alignment horizontal="right" vertical="center" wrapText="1"/>
    </xf>
    <xf numFmtId="169" fontId="27" fillId="23" borderId="1" xfId="69" applyNumberFormat="1" applyFont="1" applyFill="1" applyBorder="1" applyAlignment="1">
      <alignment horizontal="center"/>
    </xf>
    <xf numFmtId="0" fontId="26" fillId="0" borderId="1" xfId="69" applyFont="1" applyBorder="1" applyAlignment="1">
      <alignment horizontal="right"/>
    </xf>
    <xf numFmtId="0" fontId="27" fillId="23" borderId="1" xfId="69" applyFont="1" applyFill="1" applyBorder="1"/>
    <xf numFmtId="0" fontId="27" fillId="25" borderId="1" xfId="69" applyFont="1" applyFill="1" applyBorder="1" applyAlignment="1">
      <alignment horizontal="right"/>
    </xf>
    <xf numFmtId="0" fontId="26" fillId="25" borderId="1" xfId="69" applyFont="1" applyFill="1" applyBorder="1" applyAlignment="1">
      <alignment horizontal="right"/>
    </xf>
    <xf numFmtId="168" fontId="27" fillId="25" borderId="1" xfId="69" applyNumberFormat="1" applyFont="1" applyFill="1" applyBorder="1"/>
    <xf numFmtId="168" fontId="27" fillId="25" borderId="1" xfId="69" applyNumberFormat="1" applyFont="1" applyFill="1" applyBorder="1" applyAlignment="1">
      <alignment horizontal="center"/>
    </xf>
    <xf numFmtId="0" fontId="27" fillId="25" borderId="2" xfId="69" applyFont="1" applyFill="1" applyBorder="1" applyAlignment="1">
      <alignment horizontal="right"/>
    </xf>
    <xf numFmtId="0" fontId="26" fillId="25" borderId="2" xfId="69" applyFont="1" applyFill="1" applyBorder="1" applyAlignment="1">
      <alignment horizontal="right"/>
    </xf>
    <xf numFmtId="168" fontId="27" fillId="25" borderId="2" xfId="69" applyNumberFormat="1" applyFont="1" applyFill="1" applyBorder="1"/>
    <xf numFmtId="168" fontId="27" fillId="25" borderId="2" xfId="69" applyNumberFormat="1" applyFont="1" applyFill="1" applyBorder="1" applyAlignment="1">
      <alignment horizontal="center"/>
    </xf>
    <xf numFmtId="0" fontId="26" fillId="23" borderId="0" xfId="69" applyFont="1" applyFill="1"/>
    <xf numFmtId="168" fontId="27" fillId="23" borderId="0" xfId="69" applyNumberFormat="1" applyFont="1" applyFill="1"/>
    <xf numFmtId="168" fontId="27" fillId="23" borderId="0" xfId="69" applyNumberFormat="1" applyFont="1" applyFill="1" applyAlignment="1">
      <alignment horizontal="center"/>
    </xf>
    <xf numFmtId="168" fontId="26" fillId="23" borderId="0" xfId="69" applyNumberFormat="1" applyFont="1" applyFill="1"/>
    <xf numFmtId="0" fontId="27" fillId="23" borderId="0" xfId="69" applyFont="1" applyFill="1" applyAlignment="1">
      <alignment horizontal="center"/>
    </xf>
    <xf numFmtId="0" fontId="27" fillId="23" borderId="0" xfId="69" applyFont="1" applyFill="1" applyAlignment="1">
      <alignment horizontal="left"/>
    </xf>
    <xf numFmtId="0" fontId="27" fillId="23" borderId="0" xfId="69" quotePrefix="1" applyFont="1" applyFill="1" applyAlignment="1">
      <alignment horizontal="left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 wrapText="1"/>
    </xf>
    <xf numFmtId="4" fontId="59" fillId="0" borderId="0" xfId="0" applyNumberFormat="1" applyFont="1" applyAlignment="1">
      <alignment horizontal="right" vertical="center"/>
    </xf>
    <xf numFmtId="0" fontId="58" fillId="0" borderId="0" xfId="87" applyFont="1" applyAlignment="1">
      <alignment horizontal="right" vertical="center" wrapText="1"/>
    </xf>
    <xf numFmtId="0" fontId="58" fillId="0" borderId="0" xfId="87" applyFont="1" applyAlignment="1">
      <alignment horizontal="center" vertical="center" wrapText="1"/>
    </xf>
    <xf numFmtId="2" fontId="59" fillId="27" borderId="18" xfId="87" applyNumberFormat="1" applyFont="1" applyFill="1" applyBorder="1" applyAlignment="1">
      <alignment horizontal="center" vertical="center"/>
    </xf>
    <xf numFmtId="4" fontId="59" fillId="0" borderId="3" xfId="70" applyNumberFormat="1" applyFont="1" applyFill="1" applyBorder="1" applyAlignment="1" applyProtection="1">
      <alignment horizontal="right" vertical="center"/>
    </xf>
    <xf numFmtId="0" fontId="59" fillId="0" borderId="3" xfId="87" applyFont="1" applyBorder="1" applyAlignment="1">
      <alignment horizontal="center" vertical="center"/>
    </xf>
    <xf numFmtId="4" fontId="59" fillId="0" borderId="3" xfId="70" applyNumberFormat="1" applyFont="1" applyFill="1" applyBorder="1" applyAlignment="1">
      <alignment horizontal="right" vertical="center"/>
    </xf>
    <xf numFmtId="0" fontId="62" fillId="0" borderId="0" xfId="87" applyFont="1" applyAlignment="1">
      <alignment vertical="center"/>
    </xf>
    <xf numFmtId="2" fontId="58" fillId="27" borderId="3" xfId="87" applyNumberFormat="1" applyFont="1" applyFill="1" applyBorder="1" applyAlignment="1">
      <alignment horizontal="center" vertical="center" wrapText="1"/>
    </xf>
    <xf numFmtId="4" fontId="58" fillId="0" borderId="3" xfId="70" applyNumberFormat="1" applyFont="1" applyFill="1" applyBorder="1" applyAlignment="1" applyProtection="1">
      <alignment horizontal="right" vertical="center" wrapText="1"/>
    </xf>
    <xf numFmtId="4" fontId="58" fillId="0" borderId="3" xfId="70" applyNumberFormat="1" applyFont="1" applyFill="1" applyBorder="1" applyAlignment="1">
      <alignment horizontal="right" vertical="center"/>
    </xf>
    <xf numFmtId="2" fontId="59" fillId="27" borderId="3" xfId="87" applyNumberFormat="1" applyFont="1" applyFill="1" applyBorder="1" applyAlignment="1">
      <alignment horizontal="center" vertical="center" wrapText="1"/>
    </xf>
    <xf numFmtId="4" fontId="59" fillId="0" borderId="3" xfId="70" applyNumberFormat="1" applyFont="1" applyFill="1" applyBorder="1" applyAlignment="1" applyProtection="1">
      <alignment horizontal="right" vertical="center" wrapText="1"/>
    </xf>
    <xf numFmtId="4" fontId="59" fillId="0" borderId="3" xfId="70" quotePrefix="1" applyNumberFormat="1" applyFont="1" applyFill="1" applyBorder="1" applyAlignment="1" applyProtection="1">
      <alignment horizontal="right" vertical="center" wrapText="1"/>
    </xf>
    <xf numFmtId="39" fontId="59" fillId="0" borderId="3" xfId="87" applyNumberFormat="1" applyFont="1" applyBorder="1" applyAlignment="1">
      <alignment horizontal="center" vertical="center"/>
    </xf>
    <xf numFmtId="4" fontId="56" fillId="0" borderId="0" xfId="87" applyNumberFormat="1" applyFont="1" applyAlignment="1">
      <alignment vertical="center"/>
    </xf>
    <xf numFmtId="10" fontId="59" fillId="0" borderId="0" xfId="0" applyNumberFormat="1" applyFont="1" applyAlignment="1">
      <alignment vertical="center"/>
    </xf>
    <xf numFmtId="0" fontId="58" fillId="0" borderId="0" xfId="87" applyFont="1" applyAlignment="1">
      <alignment horizontal="left" vertical="center" wrapText="1"/>
    </xf>
    <xf numFmtId="4" fontId="2" fillId="0" borderId="0" xfId="87" applyNumberFormat="1" applyAlignment="1">
      <alignment horizontal="center" vertical="center"/>
    </xf>
    <xf numFmtId="4" fontId="58" fillId="0" borderId="0" xfId="87" quotePrefix="1" applyNumberFormat="1" applyFont="1" applyAlignment="1">
      <alignment horizontal="left" vertical="center"/>
    </xf>
    <xf numFmtId="0" fontId="27" fillId="23" borderId="0" xfId="69" applyFont="1" applyFill="1" applyAlignment="1">
      <alignment horizontal="center"/>
    </xf>
    <xf numFmtId="0" fontId="27" fillId="23" borderId="0" xfId="69" applyFont="1" applyFill="1" applyAlignment="1">
      <alignment horizontal="left"/>
    </xf>
    <xf numFmtId="0" fontId="26" fillId="0" borderId="0" xfId="69" applyFont="1" applyAlignment="1">
      <alignment horizontal="center"/>
    </xf>
    <xf numFmtId="0" fontId="26" fillId="23" borderId="0" xfId="69" applyFont="1" applyFill="1" applyAlignment="1">
      <alignment horizontal="center"/>
    </xf>
    <xf numFmtId="0" fontId="26" fillId="23" borderId="0" xfId="69" applyFont="1" applyFill="1" applyAlignment="1">
      <alignment horizontal="left" vertical="top"/>
    </xf>
    <xf numFmtId="0" fontId="27" fillId="23" borderId="0" xfId="69" applyFont="1" applyFill="1" applyAlignment="1">
      <alignment horizontal="left" vertical="top"/>
    </xf>
    <xf numFmtId="0" fontId="26" fillId="0" borderId="0" xfId="69" applyFont="1" applyAlignment="1">
      <alignment vertical="top"/>
    </xf>
    <xf numFmtId="0" fontId="26" fillId="0" borderId="0" xfId="69" applyFont="1" applyAlignment="1">
      <alignment horizontal="left" vertical="top"/>
    </xf>
    <xf numFmtId="0" fontId="27" fillId="0" borderId="0" xfId="69" applyFont="1" applyAlignment="1">
      <alignment vertical="top"/>
    </xf>
    <xf numFmtId="0" fontId="27" fillId="0" borderId="0" xfId="69" applyFont="1" applyAlignment="1">
      <alignment horizontal="left" vertical="top"/>
    </xf>
    <xf numFmtId="168" fontId="27" fillId="0" borderId="0" xfId="69" applyNumberFormat="1" applyFont="1" applyAlignment="1">
      <alignment horizontal="center"/>
    </xf>
    <xf numFmtId="2" fontId="2" fillId="0" borderId="0" xfId="87" applyNumberFormat="1"/>
    <xf numFmtId="2" fontId="36" fillId="0" borderId="0" xfId="87" applyNumberFormat="1" applyFont="1"/>
    <xf numFmtId="2" fontId="2" fillId="0" borderId="0" xfId="87" applyNumberFormat="1" applyAlignment="1">
      <alignment horizontal="center"/>
    </xf>
    <xf numFmtId="0" fontId="2" fillId="0" borderId="0" xfId="87"/>
    <xf numFmtId="168" fontId="27" fillId="0" borderId="0" xfId="69" applyNumberFormat="1" applyFont="1" applyAlignment="1">
      <alignment horizontal="center" vertical="center"/>
    </xf>
    <xf numFmtId="0" fontId="37" fillId="0" borderId="0" xfId="87" applyFont="1" applyAlignment="1">
      <alignment vertical="top"/>
    </xf>
    <xf numFmtId="0" fontId="38" fillId="0" borderId="0" xfId="87" applyFont="1" applyAlignment="1">
      <alignment wrapText="1"/>
    </xf>
    <xf numFmtId="165" fontId="38" fillId="0" borderId="0" xfId="93" applyFont="1" applyBorder="1" applyAlignment="1">
      <alignment horizontal="center"/>
    </xf>
    <xf numFmtId="2" fontId="38" fillId="0" borderId="0" xfId="87" applyNumberFormat="1" applyFont="1" applyAlignment="1">
      <alignment horizontal="center"/>
    </xf>
    <xf numFmtId="178" fontId="38" fillId="0" borderId="0" xfId="87" applyNumberFormat="1" applyFont="1" applyAlignment="1">
      <alignment horizontal="center"/>
    </xf>
    <xf numFmtId="0" fontId="38" fillId="0" borderId="0" xfId="87" applyFont="1"/>
    <xf numFmtId="2" fontId="37" fillId="0" borderId="0" xfId="87" applyNumberFormat="1" applyFont="1" applyAlignment="1">
      <alignment vertical="top"/>
    </xf>
    <xf numFmtId="0" fontId="37" fillId="0" borderId="0" xfId="87" applyFont="1" applyAlignment="1">
      <alignment wrapText="1"/>
    </xf>
    <xf numFmtId="165" fontId="37" fillId="0" borderId="0" xfId="93" applyFont="1" applyBorder="1" applyAlignment="1">
      <alignment horizontal="center"/>
    </xf>
    <xf numFmtId="2" fontId="37" fillId="0" borderId="0" xfId="87" applyNumberFormat="1" applyFont="1" applyAlignment="1">
      <alignment horizontal="center"/>
    </xf>
    <xf numFmtId="178" fontId="37" fillId="0" borderId="0" xfId="87" applyNumberFormat="1" applyFont="1" applyAlignment="1">
      <alignment horizontal="center"/>
    </xf>
    <xf numFmtId="178" fontId="39" fillId="0" borderId="0" xfId="87" applyNumberFormat="1" applyFont="1" applyAlignment="1">
      <alignment horizontal="center"/>
    </xf>
    <xf numFmtId="0" fontId="37" fillId="0" borderId="0" xfId="87" applyFont="1"/>
    <xf numFmtId="0" fontId="42" fillId="0" borderId="0" xfId="87" applyFont="1" applyAlignment="1">
      <alignment wrapText="1"/>
    </xf>
    <xf numFmtId="2" fontId="38" fillId="0" borderId="0" xfId="87" applyNumberFormat="1" applyFont="1" applyAlignment="1">
      <alignment horizontal="left"/>
    </xf>
    <xf numFmtId="178" fontId="38" fillId="0" borderId="0" xfId="87" applyNumberFormat="1" applyFont="1" applyAlignment="1">
      <alignment horizontal="left"/>
    </xf>
    <xf numFmtId="4" fontId="2" fillId="0" borderId="0" xfId="87" applyNumberFormat="1"/>
    <xf numFmtId="4" fontId="36" fillId="0" borderId="0" xfId="87" applyNumberFormat="1" applyFont="1"/>
    <xf numFmtId="178" fontId="37" fillId="0" borderId="0" xfId="87" applyNumberFormat="1" applyFont="1" applyAlignment="1">
      <alignment horizontal="left"/>
    </xf>
    <xf numFmtId="0" fontId="27" fillId="0" borderId="0" xfId="69" applyFont="1" applyAlignment="1">
      <alignment horizontal="left" vertical="top" wrapText="1"/>
    </xf>
    <xf numFmtId="168" fontId="27" fillId="0" borderId="0" xfId="69" applyNumberFormat="1" applyFont="1" applyAlignment="1">
      <alignment vertical="center"/>
    </xf>
    <xf numFmtId="0" fontId="35" fillId="23" borderId="0" xfId="87" applyFont="1" applyFill="1" applyAlignment="1">
      <alignment horizontal="right" vertical="top"/>
    </xf>
    <xf numFmtId="0" fontId="2" fillId="0" borderId="0" xfId="87" applyAlignment="1">
      <alignment horizontal="justify" vertical="top" wrapText="1"/>
    </xf>
    <xf numFmtId="4" fontId="2" fillId="0" borderId="0" xfId="95" applyNumberFormat="1" applyFont="1" applyAlignment="1">
      <alignment horizontal="right" vertical="center"/>
    </xf>
    <xf numFmtId="0" fontId="2" fillId="23" borderId="0" xfId="96" applyFill="1" applyAlignment="1">
      <alignment horizontal="center" vertical="center"/>
    </xf>
    <xf numFmtId="4" fontId="2" fillId="0" borderId="0" xfId="87" applyNumberFormat="1" applyAlignment="1" applyProtection="1">
      <alignment horizontal="right" vertical="center"/>
      <protection locked="0"/>
    </xf>
    <xf numFmtId="165" fontId="2" fillId="0" borderId="0" xfId="93" applyFont="1" applyFill="1" applyBorder="1" applyAlignment="1" applyProtection="1">
      <alignment horizontal="right" vertical="center" wrapText="1"/>
      <protection locked="0"/>
    </xf>
    <xf numFmtId="0" fontId="35" fillId="0" borderId="0" xfId="87" applyFont="1" applyAlignment="1">
      <alignment vertical="top"/>
    </xf>
    <xf numFmtId="165" fontId="38" fillId="0" borderId="0" xfId="93" applyFont="1" applyBorder="1"/>
    <xf numFmtId="0" fontId="27" fillId="0" borderId="0" xfId="69" applyFont="1" applyAlignment="1">
      <alignment horizontal="left" vertical="center" wrapText="1"/>
    </xf>
    <xf numFmtId="0" fontId="36" fillId="0" borderId="0" xfId="87" applyFont="1" applyAlignment="1">
      <alignment horizontal="center" vertical="top"/>
    </xf>
    <xf numFmtId="0" fontId="43" fillId="0" borderId="0" xfId="87" applyFont="1" applyAlignment="1">
      <alignment horizontal="justify" vertical="top"/>
    </xf>
    <xf numFmtId="4" fontId="2" fillId="0" borderId="0" xfId="87" applyNumberFormat="1" applyAlignment="1">
      <alignment vertical="top"/>
    </xf>
    <xf numFmtId="0" fontId="2" fillId="23" borderId="0" xfId="87" applyFill="1" applyAlignment="1">
      <alignment vertical="top"/>
    </xf>
    <xf numFmtId="4" fontId="2" fillId="0" borderId="0" xfId="87" applyNumberFormat="1" applyAlignment="1" applyProtection="1">
      <alignment vertical="top"/>
      <protection locked="0"/>
    </xf>
    <xf numFmtId="179" fontId="35" fillId="23" borderId="0" xfId="87" applyNumberFormat="1" applyFont="1" applyFill="1" applyAlignment="1">
      <alignment vertical="top"/>
    </xf>
    <xf numFmtId="0" fontId="31" fillId="23" borderId="0" xfId="87" applyFont="1" applyFill="1" applyAlignment="1">
      <alignment vertical="top"/>
    </xf>
    <xf numFmtId="4" fontId="2" fillId="23" borderId="0" xfId="87" applyNumberFormat="1" applyFill="1" applyAlignment="1">
      <alignment vertical="top"/>
    </xf>
    <xf numFmtId="4" fontId="2" fillId="23" borderId="0" xfId="87" applyNumberFormat="1" applyFill="1" applyAlignment="1">
      <alignment horizontal="center" vertical="top"/>
    </xf>
    <xf numFmtId="0" fontId="35" fillId="23" borderId="0" xfId="87" applyFont="1" applyFill="1" applyAlignment="1">
      <alignment vertical="top"/>
    </xf>
    <xf numFmtId="165" fontId="44" fillId="0" borderId="0" xfId="93" applyFont="1" applyBorder="1"/>
    <xf numFmtId="165" fontId="45" fillId="0" borderId="0" xfId="93" applyFont="1" applyBorder="1"/>
    <xf numFmtId="165" fontId="46" fillId="0" borderId="0" xfId="93" applyFont="1" applyFill="1" applyBorder="1"/>
    <xf numFmtId="0" fontId="30" fillId="0" borderId="0" xfId="69" applyFont="1" applyAlignment="1">
      <alignment vertical="top"/>
    </xf>
    <xf numFmtId="0" fontId="30" fillId="0" borderId="0" xfId="69" applyFont="1" applyAlignment="1">
      <alignment horizontal="left" vertical="top" wrapText="1"/>
    </xf>
    <xf numFmtId="168" fontId="31" fillId="0" borderId="0" xfId="69" applyNumberFormat="1" applyFont="1" applyAlignment="1">
      <alignment vertical="center"/>
    </xf>
    <xf numFmtId="168" fontId="31" fillId="0" borderId="0" xfId="69" applyNumberFormat="1" applyFont="1" applyAlignment="1">
      <alignment horizontal="center" vertical="center"/>
    </xf>
    <xf numFmtId="0" fontId="31" fillId="0" borderId="0" xfId="69" applyFont="1" applyAlignment="1">
      <alignment vertical="top" wrapText="1"/>
    </xf>
    <xf numFmtId="0" fontId="31" fillId="0" borderId="0" xfId="87" applyFont="1" applyAlignment="1">
      <alignment vertical="center" wrapText="1"/>
    </xf>
    <xf numFmtId="168" fontId="31" fillId="0" borderId="0" xfId="69" applyNumberFormat="1" applyFont="1" applyAlignment="1">
      <alignment vertical="center" wrapText="1"/>
    </xf>
    <xf numFmtId="0" fontId="35" fillId="23" borderId="0" xfId="87" applyFont="1" applyFill="1" applyAlignment="1">
      <alignment horizontal="center" vertical="top"/>
    </xf>
    <xf numFmtId="2" fontId="38" fillId="0" borderId="0" xfId="87" applyNumberFormat="1" applyFont="1" applyAlignment="1">
      <alignment wrapText="1"/>
    </xf>
    <xf numFmtId="0" fontId="2" fillId="0" borderId="0" xfId="87" applyAlignment="1">
      <alignment vertical="top" wrapText="1"/>
    </xf>
    <xf numFmtId="4" fontId="2" fillId="0" borderId="0" xfId="87" applyNumberFormat="1" applyAlignment="1">
      <alignment vertical="top" wrapText="1"/>
    </xf>
    <xf numFmtId="4" fontId="2" fillId="0" borderId="0" xfId="87" applyNumberFormat="1" applyAlignment="1">
      <alignment horizontal="center" vertical="top" wrapText="1"/>
    </xf>
    <xf numFmtId="4" fontId="2" fillId="0" borderId="0" xfId="87" applyNumberFormat="1" applyAlignment="1" applyProtection="1">
      <alignment vertical="top" wrapText="1"/>
      <protection locked="0"/>
    </xf>
    <xf numFmtId="168" fontId="27" fillId="0" borderId="0" xfId="69" applyNumberFormat="1" applyFont="1" applyAlignment="1">
      <alignment vertical="center" wrapText="1"/>
    </xf>
    <xf numFmtId="168" fontId="27" fillId="0" borderId="0" xfId="69" applyNumberFormat="1" applyFont="1" applyAlignment="1">
      <alignment vertical="top" wrapText="1"/>
    </xf>
    <xf numFmtId="2" fontId="31" fillId="0" borderId="0" xfId="69" applyNumberFormat="1" applyFont="1" applyAlignment="1">
      <alignment vertical="top" wrapText="1"/>
    </xf>
    <xf numFmtId="0" fontId="31" fillId="0" borderId="0" xfId="87" applyFont="1" applyAlignment="1">
      <alignment vertical="center"/>
    </xf>
    <xf numFmtId="0" fontId="32" fillId="0" borderId="0" xfId="87" applyFont="1" applyAlignment="1">
      <alignment vertical="center"/>
    </xf>
    <xf numFmtId="0" fontId="47" fillId="0" borderId="0" xfId="87" applyFont="1" applyAlignment="1">
      <alignment wrapText="1"/>
    </xf>
    <xf numFmtId="2" fontId="47" fillId="0" borderId="0" xfId="87" applyNumberFormat="1" applyFont="1" applyAlignment="1">
      <alignment horizontal="center"/>
    </xf>
    <xf numFmtId="0" fontId="26" fillId="0" borderId="0" xfId="69" applyFont="1" applyAlignment="1">
      <alignment horizontal="left" vertical="top" wrapText="1"/>
    </xf>
    <xf numFmtId="180" fontId="2" fillId="23" borderId="0" xfId="90" applyNumberFormat="1" applyFill="1" applyAlignment="1">
      <alignment horizontal="right" vertical="top"/>
    </xf>
    <xf numFmtId="4" fontId="2" fillId="0" borderId="0" xfId="87" applyNumberFormat="1" applyAlignment="1">
      <alignment horizontal="center" vertical="top"/>
    </xf>
    <xf numFmtId="0" fontId="2" fillId="26" borderId="0" xfId="90" applyFill="1" applyAlignment="1">
      <alignment vertical="top" wrapText="1"/>
    </xf>
    <xf numFmtId="165" fontId="49" fillId="0" borderId="0" xfId="93" applyFont="1" applyBorder="1" applyAlignment="1">
      <alignment wrapText="1"/>
    </xf>
    <xf numFmtId="165" fontId="44" fillId="0" borderId="0" xfId="93" applyFont="1" applyBorder="1" applyAlignment="1">
      <alignment horizontal="center" vertical="center"/>
    </xf>
    <xf numFmtId="0" fontId="26" fillId="0" borderId="0" xfId="87" applyFont="1" applyAlignment="1">
      <alignment horizontal="right" vertical="top"/>
    </xf>
    <xf numFmtId="0" fontId="26" fillId="0" borderId="0" xfId="87" applyFont="1" applyAlignment="1">
      <alignment horizontal="left" vertical="top"/>
    </xf>
    <xf numFmtId="168" fontId="27" fillId="0" borderId="0" xfId="87" applyNumberFormat="1" applyFont="1" applyAlignment="1">
      <alignment horizontal="right" vertical="top"/>
    </xf>
    <xf numFmtId="2" fontId="27" fillId="0" borderId="0" xfId="87" applyNumberFormat="1" applyFont="1" applyAlignment="1">
      <alignment horizontal="center" vertical="top"/>
    </xf>
    <xf numFmtId="169" fontId="27" fillId="0" borderId="0" xfId="87" applyNumberFormat="1" applyFont="1" applyAlignment="1">
      <alignment horizontal="right" vertical="top" wrapText="1"/>
    </xf>
    <xf numFmtId="0" fontId="27" fillId="0" borderId="0" xfId="91" applyFont="1" applyAlignment="1">
      <alignment horizontal="left" vertical="top" wrapText="1"/>
    </xf>
    <xf numFmtId="2" fontId="33" fillId="0" borderId="0" xfId="87" applyNumberFormat="1" applyFont="1" applyAlignment="1">
      <alignment horizontal="center" vertical="top"/>
    </xf>
    <xf numFmtId="168" fontId="27" fillId="0" borderId="0" xfId="69" applyNumberFormat="1" applyFont="1" applyAlignment="1">
      <alignment vertical="top"/>
    </xf>
    <xf numFmtId="168" fontId="27" fillId="0" borderId="0" xfId="69" applyNumberFormat="1" applyFont="1" applyAlignment="1">
      <alignment horizontal="center" vertical="top"/>
    </xf>
    <xf numFmtId="0" fontId="50" fillId="0" borderId="0" xfId="87" applyFont="1" applyAlignment="1">
      <alignment wrapText="1"/>
    </xf>
    <xf numFmtId="2" fontId="51" fillId="0" borderId="0" xfId="87" applyNumberFormat="1" applyFont="1" applyAlignment="1">
      <alignment horizontal="center"/>
    </xf>
    <xf numFmtId="178" fontId="51" fillId="0" borderId="0" xfId="87" applyNumberFormat="1" applyFont="1" applyAlignment="1">
      <alignment horizontal="center"/>
    </xf>
    <xf numFmtId="178" fontId="52" fillId="0" borderId="0" xfId="87" applyNumberFormat="1" applyFont="1" applyAlignment="1">
      <alignment horizontal="center"/>
    </xf>
    <xf numFmtId="165" fontId="53" fillId="0" borderId="0" xfId="93" applyFont="1" applyBorder="1" applyAlignment="1">
      <alignment wrapText="1"/>
    </xf>
    <xf numFmtId="0" fontId="2" fillId="0" borderId="0" xfId="87" applyAlignment="1">
      <alignment horizontal="right"/>
    </xf>
    <xf numFmtId="165" fontId="53" fillId="0" borderId="0" xfId="93" applyFont="1" applyBorder="1"/>
    <xf numFmtId="165" fontId="53" fillId="0" borderId="0" xfId="93" applyFont="1" applyFill="1" applyBorder="1"/>
    <xf numFmtId="165" fontId="2" fillId="0" borderId="0" xfId="87" applyNumberFormat="1"/>
    <xf numFmtId="165" fontId="44" fillId="0" borderId="0" xfId="93" applyFont="1" applyFill="1" applyBorder="1"/>
    <xf numFmtId="164" fontId="54" fillId="0" borderId="0" xfId="97" applyFont="1" applyBorder="1"/>
    <xf numFmtId="2" fontId="42" fillId="0" borderId="0" xfId="87" applyNumberFormat="1" applyFont="1" applyAlignment="1">
      <alignment wrapText="1"/>
    </xf>
    <xf numFmtId="0" fontId="51" fillId="0" borderId="0" xfId="87" applyFont="1" applyAlignment="1">
      <alignment wrapText="1"/>
    </xf>
    <xf numFmtId="178" fontId="47" fillId="0" borderId="0" xfId="87" applyNumberFormat="1" applyFont="1" applyAlignment="1">
      <alignment horizontal="center"/>
    </xf>
    <xf numFmtId="0" fontId="2" fillId="0" borderId="0" xfId="87" applyAlignment="1">
      <alignment horizontal="left" wrapText="1"/>
    </xf>
    <xf numFmtId="181" fontId="0" fillId="0" borderId="0" xfId="93" applyNumberFormat="1" applyFont="1" applyFill="1" applyBorder="1"/>
    <xf numFmtId="181" fontId="0" fillId="0" borderId="0" xfId="93" applyNumberFormat="1" applyFont="1" applyBorder="1"/>
    <xf numFmtId="0" fontId="51" fillId="0" borderId="0" xfId="87" applyFont="1" applyAlignment="1">
      <alignment vertical="top"/>
    </xf>
    <xf numFmtId="0" fontId="47" fillId="0" borderId="0" xfId="87" applyFont="1" applyAlignment="1">
      <alignment horizontal="center"/>
    </xf>
    <xf numFmtId="0" fontId="47" fillId="0" borderId="0" xfId="87" applyFont="1"/>
    <xf numFmtId="2" fontId="51" fillId="0" borderId="0" xfId="87" applyNumberFormat="1" applyFont="1" applyAlignment="1">
      <alignment vertical="top"/>
    </xf>
    <xf numFmtId="0" fontId="51" fillId="0" borderId="0" xfId="87" applyFont="1" applyAlignment="1">
      <alignment horizontal="center"/>
    </xf>
    <xf numFmtId="0" fontId="55" fillId="0" borderId="0" xfId="87" applyFont="1"/>
    <xf numFmtId="182" fontId="47" fillId="0" borderId="0" xfId="87" applyNumberFormat="1" applyFont="1" applyAlignment="1">
      <alignment horizontal="center"/>
    </xf>
    <xf numFmtId="0" fontId="27" fillId="0" borderId="0" xfId="87" applyFont="1" applyAlignment="1">
      <alignment horizontal="left" vertical="top" wrapText="1"/>
    </xf>
    <xf numFmtId="0" fontId="27" fillId="0" borderId="0" xfId="87" applyFont="1" applyAlignment="1">
      <alignment vertical="top" wrapText="1"/>
    </xf>
    <xf numFmtId="0" fontId="26" fillId="0" borderId="0" xfId="87" applyFont="1" applyAlignment="1">
      <alignment vertical="top" wrapText="1"/>
    </xf>
    <xf numFmtId="0" fontId="26" fillId="0" borderId="0" xfId="87" applyFont="1" applyAlignment="1">
      <alignment horizontal="left" vertical="center" wrapText="1"/>
    </xf>
    <xf numFmtId="0" fontId="26" fillId="0" borderId="0" xfId="87" applyFont="1" applyAlignment="1">
      <alignment horizontal="left" vertical="top" wrapText="1"/>
    </xf>
    <xf numFmtId="0" fontId="27" fillId="24" borderId="0" xfId="69" applyFont="1" applyFill="1" applyAlignment="1">
      <alignment horizontal="right"/>
    </xf>
    <xf numFmtId="0" fontId="26" fillId="24" borderId="0" xfId="69" applyFont="1" applyFill="1" applyAlignment="1">
      <alignment horizontal="center"/>
    </xf>
    <xf numFmtId="168" fontId="27" fillId="24" borderId="0" xfId="69" applyNumberFormat="1" applyFont="1" applyFill="1"/>
    <xf numFmtId="168" fontId="27" fillId="24" borderId="0" xfId="69" applyNumberFormat="1" applyFont="1" applyFill="1" applyAlignment="1">
      <alignment horizontal="center"/>
    </xf>
    <xf numFmtId="0" fontId="27" fillId="23" borderId="0" xfId="69" applyFont="1" applyFill="1" applyAlignment="1">
      <alignment horizontal="right"/>
    </xf>
    <xf numFmtId="0" fontId="27" fillId="0" borderId="0" xfId="69" applyFont="1" applyAlignment="1">
      <alignment horizontal="right" vertical="top"/>
    </xf>
    <xf numFmtId="0" fontId="36" fillId="23" borderId="0" xfId="87" applyFont="1" applyFill="1" applyAlignment="1">
      <alignment horizontal="right" vertical="top" wrapText="1"/>
    </xf>
    <xf numFmtId="0" fontId="35" fillId="23" borderId="0" xfId="87" applyFont="1" applyFill="1" applyAlignment="1">
      <alignment horizontal="justify" vertical="top" wrapText="1"/>
    </xf>
    <xf numFmtId="4" fontId="2" fillId="23" borderId="0" xfId="87" applyNumberFormat="1" applyFill="1" applyAlignment="1">
      <alignment vertical="center"/>
    </xf>
    <xf numFmtId="4" fontId="2" fillId="23" borderId="0" xfId="87" applyNumberFormat="1" applyFill="1" applyAlignment="1">
      <alignment horizontal="center" vertical="center"/>
    </xf>
    <xf numFmtId="0" fontId="27" fillId="0" borderId="0" xfId="69" applyFont="1" applyAlignment="1">
      <alignment horizontal="right"/>
    </xf>
    <xf numFmtId="0" fontId="27" fillId="0" borderId="0" xfId="69" applyFont="1" applyAlignment="1">
      <alignment horizontal="left"/>
    </xf>
    <xf numFmtId="0" fontId="2" fillId="26" borderId="0" xfId="87" applyFill="1" applyAlignment="1">
      <alignment vertical="top" wrapText="1"/>
    </xf>
    <xf numFmtId="4" fontId="2" fillId="23" borderId="0" xfId="87" applyNumberFormat="1" applyFill="1" applyAlignment="1">
      <alignment horizontal="center" vertical="top" wrapText="1"/>
    </xf>
    <xf numFmtId="4" fontId="2" fillId="23" borderId="0" xfId="87" applyNumberFormat="1" applyFill="1" applyAlignment="1" applyProtection="1">
      <alignment horizontal="right" vertical="top" wrapText="1"/>
      <protection locked="0"/>
    </xf>
    <xf numFmtId="165" fontId="36" fillId="0" borderId="0" xfId="87" applyNumberFormat="1" applyFont="1"/>
    <xf numFmtId="170" fontId="2" fillId="0" borderId="0" xfId="87" applyNumberFormat="1"/>
    <xf numFmtId="184" fontId="58" fillId="0" borderId="0" xfId="70" applyNumberFormat="1" applyFont="1" applyAlignment="1">
      <alignment horizontal="right" vertical="center"/>
    </xf>
    <xf numFmtId="184" fontId="56" fillId="0" borderId="0" xfId="87" applyNumberFormat="1" applyFont="1" applyAlignment="1">
      <alignment vertical="center"/>
    </xf>
    <xf numFmtId="184" fontId="59" fillId="0" borderId="0" xfId="70" applyNumberFormat="1" applyFont="1" applyAlignment="1">
      <alignment horizontal="right" vertical="center"/>
    </xf>
    <xf numFmtId="185" fontId="59" fillId="0" borderId="0" xfId="70" applyNumberFormat="1" applyFont="1" applyAlignment="1">
      <alignment horizontal="right" vertical="center"/>
    </xf>
    <xf numFmtId="185" fontId="58" fillId="0" borderId="0" xfId="70" applyNumberFormat="1" applyFont="1" applyAlignment="1">
      <alignment horizontal="right" vertical="center"/>
    </xf>
    <xf numFmtId="186" fontId="56" fillId="0" borderId="0" xfId="87" applyNumberFormat="1" applyFont="1" applyAlignment="1">
      <alignment vertical="center"/>
    </xf>
    <xf numFmtId="0" fontId="27" fillId="23" borderId="0" xfId="69" applyFont="1" applyFill="1" applyAlignment="1">
      <alignment horizontal="center"/>
    </xf>
    <xf numFmtId="0" fontId="27" fillId="23" borderId="0" xfId="69" applyFont="1" applyFill="1" applyAlignment="1">
      <alignment horizontal="left"/>
    </xf>
    <xf numFmtId="0" fontId="26" fillId="0" borderId="0" xfId="69" applyFont="1" applyAlignment="1">
      <alignment horizontal="center"/>
    </xf>
    <xf numFmtId="0" fontId="26" fillId="0" borderId="4" xfId="69" applyFont="1" applyBorder="1" applyAlignment="1" applyProtection="1">
      <alignment horizontal="center"/>
      <protection locked="0"/>
    </xf>
    <xf numFmtId="0" fontId="26" fillId="0" borderId="0" xfId="69" applyFont="1" applyAlignment="1" applyProtection="1">
      <alignment horizontal="center"/>
      <protection locked="0"/>
    </xf>
    <xf numFmtId="0" fontId="57" fillId="0" borderId="0" xfId="87" applyFont="1" applyAlignment="1">
      <alignment horizontal="center" vertical="center"/>
    </xf>
    <xf numFmtId="0" fontId="58" fillId="0" borderId="0" xfId="87" applyFont="1" applyAlignment="1">
      <alignment horizontal="center" vertical="center" wrapText="1"/>
    </xf>
    <xf numFmtId="0" fontId="58" fillId="0" borderId="0" xfId="87" applyFont="1" applyAlignment="1">
      <alignment horizontal="left" vertical="center" wrapText="1"/>
    </xf>
    <xf numFmtId="0" fontId="58" fillId="0" borderId="21" xfId="87" applyFont="1" applyBorder="1" applyAlignment="1">
      <alignment vertical="center" wrapText="1"/>
    </xf>
  </cellXfs>
  <cellStyles count="9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2" xfId="51"/>
    <cellStyle name="Comma 3" xfId="52"/>
    <cellStyle name="Euro" xfId="28"/>
    <cellStyle name="Explanatory Text" xfId="29"/>
    <cellStyle name="F2" xfId="30"/>
    <cellStyle name="F3" xfId="31"/>
    <cellStyle name="F4" xfId="32"/>
    <cellStyle name="F5" xfId="33"/>
    <cellStyle name="F6" xfId="34"/>
    <cellStyle name="F7" xfId="35"/>
    <cellStyle name="F8" xfId="36"/>
    <cellStyle name="Good" xfId="37"/>
    <cellStyle name="Heading 1" xfId="38"/>
    <cellStyle name="Heading 2" xfId="39"/>
    <cellStyle name="Heading 3" xfId="40"/>
    <cellStyle name="Heading 4" xfId="41"/>
    <cellStyle name="Hipervínculo" xfId="94" builtinId="8"/>
    <cellStyle name="Input" xfId="42"/>
    <cellStyle name="Linked Cell" xfId="43"/>
    <cellStyle name="Millares 10" xfId="67"/>
    <cellStyle name="Millares 10 2" xfId="70"/>
    <cellStyle name="Millares 10 3" xfId="93"/>
    <cellStyle name="Millares 11" xfId="84"/>
    <cellStyle name="Millares 2" xfId="53"/>
    <cellStyle name="Millares 2 2 2" xfId="81"/>
    <cellStyle name="Millares 3" xfId="54"/>
    <cellStyle name="Millares 3 2" xfId="71"/>
    <cellStyle name="Millares 3 3" xfId="68"/>
    <cellStyle name="Millares 4" xfId="48"/>
    <cellStyle name="Millares 4 2" xfId="74"/>
    <cellStyle name="Millares 5" xfId="55"/>
    <cellStyle name="Millares 5 2" xfId="75"/>
    <cellStyle name="Millares 5 3" xfId="89"/>
    <cellStyle name="Millares 5 3 2 2" xfId="92"/>
    <cellStyle name="Millares 6" xfId="56"/>
    <cellStyle name="Millares 7" xfId="49"/>
    <cellStyle name="Millares 7 2" xfId="83"/>
    <cellStyle name="Millares 8" xfId="57"/>
    <cellStyle name="Millares 9" xfId="58"/>
    <cellStyle name="Millares 9 2" xfId="73"/>
    <cellStyle name="Moneda 2" xfId="97"/>
    <cellStyle name="No-definido" xfId="59"/>
    <cellStyle name="Normal" xfId="0" builtinId="0"/>
    <cellStyle name="Normal - Style1" xfId="60"/>
    <cellStyle name="Normal 10" xfId="87"/>
    <cellStyle name="Normal 10 2 2" xfId="90"/>
    <cellStyle name="Normal 13 2" xfId="96"/>
    <cellStyle name="Normal 2" xfId="50"/>
    <cellStyle name="Normal 2 2" xfId="61"/>
    <cellStyle name="Normal 2 2 2" xfId="72"/>
    <cellStyle name="Normal 2 3" xfId="69"/>
    <cellStyle name="Normal 2 4" xfId="76"/>
    <cellStyle name="Normal 2_07-09 presupu..." xfId="62"/>
    <cellStyle name="Normal 3" xfId="63"/>
    <cellStyle name="Normal 3 2" xfId="77"/>
    <cellStyle name="Normal 3 2 2" xfId="85"/>
    <cellStyle name="Normal 3 2 4" xfId="95"/>
    <cellStyle name="Normal 31_correccion de averia ac.hatillo prov.hato mayor oct.2011" xfId="80"/>
    <cellStyle name="Normal 4" xfId="64"/>
    <cellStyle name="Normal 45" xfId="88"/>
    <cellStyle name="Normal 5" xfId="82"/>
    <cellStyle name="Normal 5 2 2" xfId="91"/>
    <cellStyle name="Normal 8" xfId="78"/>
    <cellStyle name="Normal 9" xfId="79"/>
    <cellStyle name="Note" xfId="44"/>
    <cellStyle name="Output" xfId="45"/>
    <cellStyle name="Percent 2" xfId="65"/>
    <cellStyle name="Porcentaje 2" xfId="86"/>
    <cellStyle name="Porcentual 2" xfId="66"/>
    <cellStyle name="Title" xfId="46"/>
    <cellStyle name="Warning Text" xfId="47"/>
  </cellStyles>
  <dxfs count="0"/>
  <tableStyles count="0" defaultTableStyle="TableStyleMedium9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8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3.xml"/><Relationship Id="rId37" Type="http://schemas.microsoft.com/office/2017/10/relationships/person" Target="persons/perso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111</xdr:row>
      <xdr:rowOff>133350</xdr:rowOff>
    </xdr:from>
    <xdr:to>
      <xdr:col>1</xdr:col>
      <xdr:colOff>2114550</xdr:colOff>
      <xdr:row>111</xdr:row>
      <xdr:rowOff>133350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FDD91BEC-CE53-4B2C-8C13-2C34635B0B35}"/>
            </a:ext>
          </a:extLst>
        </xdr:cNvPr>
        <xdr:cNvSpPr>
          <a:spLocks noChangeShapeType="1"/>
        </xdr:cNvSpPr>
      </xdr:nvSpPr>
      <xdr:spPr bwMode="auto">
        <a:xfrm>
          <a:off x="190500" y="23939500"/>
          <a:ext cx="2508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371475</xdr:colOff>
      <xdr:row>111</xdr:row>
      <xdr:rowOff>152400</xdr:rowOff>
    </xdr:from>
    <xdr:to>
      <xdr:col>5</xdr:col>
      <xdr:colOff>904875</xdr:colOff>
      <xdr:row>111</xdr:row>
      <xdr:rowOff>152400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28A1C786-1C97-4D0E-94F4-05021D19818A}"/>
            </a:ext>
          </a:extLst>
        </xdr:cNvPr>
        <xdr:cNvSpPr>
          <a:spLocks noChangeShapeType="1"/>
        </xdr:cNvSpPr>
      </xdr:nvSpPr>
      <xdr:spPr bwMode="auto">
        <a:xfrm>
          <a:off x="4619625" y="2395855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161925</xdr:colOff>
      <xdr:row>121</xdr:row>
      <xdr:rowOff>133350</xdr:rowOff>
    </xdr:from>
    <xdr:to>
      <xdr:col>1</xdr:col>
      <xdr:colOff>2085975</xdr:colOff>
      <xdr:row>121</xdr:row>
      <xdr:rowOff>133350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95E0EC26-7177-474C-BD65-5E11B2CFB85A}"/>
            </a:ext>
          </a:extLst>
        </xdr:cNvPr>
        <xdr:cNvSpPr>
          <a:spLocks noChangeShapeType="1"/>
        </xdr:cNvSpPr>
      </xdr:nvSpPr>
      <xdr:spPr bwMode="auto">
        <a:xfrm>
          <a:off x="161925" y="25717500"/>
          <a:ext cx="2508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121</xdr:row>
      <xdr:rowOff>133350</xdr:rowOff>
    </xdr:from>
    <xdr:to>
      <xdr:col>5</xdr:col>
      <xdr:colOff>790575</xdr:colOff>
      <xdr:row>121</xdr:row>
      <xdr:rowOff>133350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599ACD8D-58FB-4783-9969-831C414D4271}"/>
            </a:ext>
          </a:extLst>
        </xdr:cNvPr>
        <xdr:cNvSpPr>
          <a:spLocks noChangeShapeType="1"/>
        </xdr:cNvSpPr>
      </xdr:nvSpPr>
      <xdr:spPr bwMode="auto">
        <a:xfrm>
          <a:off x="4505325" y="2571750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97155</xdr:colOff>
      <xdr:row>95</xdr:row>
      <xdr:rowOff>15875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A20B19D-F53B-40B8-8581-1303EC72DE21}"/>
            </a:ext>
          </a:extLst>
        </xdr:cNvPr>
        <xdr:cNvSpPr txBox="1">
          <a:spLocks noChangeArrowheads="1"/>
        </xdr:cNvSpPr>
      </xdr:nvSpPr>
      <xdr:spPr bwMode="auto">
        <a:xfrm>
          <a:off x="13052425" y="20605750"/>
          <a:ext cx="10033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97155</xdr:colOff>
      <xdr:row>95</xdr:row>
      <xdr:rowOff>15875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C829840F-2983-4098-9F2E-11A55D38B5F9}"/>
            </a:ext>
          </a:extLst>
        </xdr:cNvPr>
        <xdr:cNvSpPr txBox="1">
          <a:spLocks noChangeArrowheads="1"/>
        </xdr:cNvSpPr>
      </xdr:nvSpPr>
      <xdr:spPr bwMode="auto">
        <a:xfrm>
          <a:off x="13052425" y="20605750"/>
          <a:ext cx="10033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97155</xdr:colOff>
      <xdr:row>95</xdr:row>
      <xdr:rowOff>15875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78B1552-82D2-4378-ACED-AFDD6C5E0A77}"/>
            </a:ext>
          </a:extLst>
        </xdr:cNvPr>
        <xdr:cNvSpPr txBox="1">
          <a:spLocks noChangeArrowheads="1"/>
        </xdr:cNvSpPr>
      </xdr:nvSpPr>
      <xdr:spPr bwMode="auto">
        <a:xfrm>
          <a:off x="13052425" y="20605750"/>
          <a:ext cx="10033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97155</xdr:colOff>
      <xdr:row>95</xdr:row>
      <xdr:rowOff>15875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D15BAD48-4019-4C2E-9C58-72AF3111C7EB}"/>
            </a:ext>
          </a:extLst>
        </xdr:cNvPr>
        <xdr:cNvSpPr txBox="1">
          <a:spLocks noChangeArrowheads="1"/>
        </xdr:cNvSpPr>
      </xdr:nvSpPr>
      <xdr:spPr bwMode="auto">
        <a:xfrm>
          <a:off x="13052425" y="20605750"/>
          <a:ext cx="10033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97155</xdr:colOff>
      <xdr:row>95</xdr:row>
      <xdr:rowOff>15875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83180799-0AD5-4C46-8367-8A665F6B3F64}"/>
            </a:ext>
          </a:extLst>
        </xdr:cNvPr>
        <xdr:cNvSpPr txBox="1">
          <a:spLocks noChangeArrowheads="1"/>
        </xdr:cNvSpPr>
      </xdr:nvSpPr>
      <xdr:spPr bwMode="auto">
        <a:xfrm>
          <a:off x="13052425" y="20605750"/>
          <a:ext cx="10033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97155</xdr:colOff>
      <xdr:row>95</xdr:row>
      <xdr:rowOff>15875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A7F5C9AF-FF47-4B7E-B8BD-5503EAC62316}"/>
            </a:ext>
          </a:extLst>
        </xdr:cNvPr>
        <xdr:cNvSpPr txBox="1">
          <a:spLocks noChangeArrowheads="1"/>
        </xdr:cNvSpPr>
      </xdr:nvSpPr>
      <xdr:spPr bwMode="auto">
        <a:xfrm>
          <a:off x="13052425" y="20605750"/>
          <a:ext cx="10033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1304925</xdr:colOff>
      <xdr:row>94</xdr:row>
      <xdr:rowOff>0</xdr:rowOff>
    </xdr:from>
    <xdr:to>
      <xdr:col>12</xdr:col>
      <xdr:colOff>97155</xdr:colOff>
      <xdr:row>95</xdr:row>
      <xdr:rowOff>15875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3BC38898-CA9E-4A86-AEA3-8CFB47771D92}"/>
            </a:ext>
          </a:extLst>
        </xdr:cNvPr>
        <xdr:cNvSpPr txBox="1">
          <a:spLocks noChangeArrowheads="1"/>
        </xdr:cNvSpPr>
      </xdr:nvSpPr>
      <xdr:spPr bwMode="auto">
        <a:xfrm>
          <a:off x="13052425" y="20605750"/>
          <a:ext cx="10033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626</xdr:row>
      <xdr:rowOff>133350</xdr:rowOff>
    </xdr:from>
    <xdr:to>
      <xdr:col>1</xdr:col>
      <xdr:colOff>2085975</xdr:colOff>
      <xdr:row>626</xdr:row>
      <xdr:rowOff>133350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C2713D1B-E8BE-44F1-88A8-C8EBE5BC7E09}"/>
            </a:ext>
          </a:extLst>
        </xdr:cNvPr>
        <xdr:cNvSpPr>
          <a:spLocks noChangeShapeType="1"/>
        </xdr:cNvSpPr>
      </xdr:nvSpPr>
      <xdr:spPr bwMode="auto">
        <a:xfrm>
          <a:off x="161925" y="113488470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626</xdr:row>
      <xdr:rowOff>133350</xdr:rowOff>
    </xdr:from>
    <xdr:to>
      <xdr:col>4</xdr:col>
      <xdr:colOff>0</xdr:colOff>
      <xdr:row>626</xdr:row>
      <xdr:rowOff>133350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0091ECE2-3C24-4910-9596-B598E049650B}"/>
            </a:ext>
          </a:extLst>
        </xdr:cNvPr>
        <xdr:cNvSpPr>
          <a:spLocks noChangeShapeType="1"/>
        </xdr:cNvSpPr>
      </xdr:nvSpPr>
      <xdr:spPr bwMode="auto">
        <a:xfrm>
          <a:off x="3571875" y="113488470"/>
          <a:ext cx="13963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9</xdr:col>
      <xdr:colOff>1304925</xdr:colOff>
      <xdr:row>617</xdr:row>
      <xdr:rowOff>0</xdr:rowOff>
    </xdr:from>
    <xdr:to>
      <xdr:col>10</xdr:col>
      <xdr:colOff>93345</xdr:colOff>
      <xdr:row>618</xdr:row>
      <xdr:rowOff>19050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73D5CAD-DB36-4F2D-8F9B-5FDB0656813D}"/>
            </a:ext>
          </a:extLst>
        </xdr:cNvPr>
        <xdr:cNvSpPr txBox="1">
          <a:spLocks noChangeArrowheads="1"/>
        </xdr:cNvSpPr>
      </xdr:nvSpPr>
      <xdr:spPr bwMode="auto">
        <a:xfrm>
          <a:off x="10403205" y="111777780"/>
          <a:ext cx="95250" cy="19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1304925</xdr:colOff>
      <xdr:row>617</xdr:row>
      <xdr:rowOff>0</xdr:rowOff>
    </xdr:from>
    <xdr:to>
      <xdr:col>10</xdr:col>
      <xdr:colOff>93345</xdr:colOff>
      <xdr:row>618</xdr:row>
      <xdr:rowOff>19050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E6F9371-7B6D-42F6-A90D-9A795A31AB3F}"/>
            </a:ext>
          </a:extLst>
        </xdr:cNvPr>
        <xdr:cNvSpPr txBox="1">
          <a:spLocks noChangeArrowheads="1"/>
        </xdr:cNvSpPr>
      </xdr:nvSpPr>
      <xdr:spPr bwMode="auto">
        <a:xfrm>
          <a:off x="10403205" y="111777780"/>
          <a:ext cx="95250" cy="19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1304925</xdr:colOff>
      <xdr:row>617</xdr:row>
      <xdr:rowOff>0</xdr:rowOff>
    </xdr:from>
    <xdr:to>
      <xdr:col>10</xdr:col>
      <xdr:colOff>93345</xdr:colOff>
      <xdr:row>618</xdr:row>
      <xdr:rowOff>19050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886E92B-ED3A-41C5-A5E3-084DE419431F}"/>
            </a:ext>
          </a:extLst>
        </xdr:cNvPr>
        <xdr:cNvSpPr txBox="1">
          <a:spLocks noChangeArrowheads="1"/>
        </xdr:cNvSpPr>
      </xdr:nvSpPr>
      <xdr:spPr bwMode="auto">
        <a:xfrm>
          <a:off x="10403205" y="111777780"/>
          <a:ext cx="95250" cy="19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1304925</xdr:colOff>
      <xdr:row>617</xdr:row>
      <xdr:rowOff>0</xdr:rowOff>
    </xdr:from>
    <xdr:to>
      <xdr:col>10</xdr:col>
      <xdr:colOff>93345</xdr:colOff>
      <xdr:row>618</xdr:row>
      <xdr:rowOff>19050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F1674C30-34BB-4AD6-B861-5472590EEA2C}"/>
            </a:ext>
          </a:extLst>
        </xdr:cNvPr>
        <xdr:cNvSpPr txBox="1">
          <a:spLocks noChangeArrowheads="1"/>
        </xdr:cNvSpPr>
      </xdr:nvSpPr>
      <xdr:spPr bwMode="auto">
        <a:xfrm>
          <a:off x="10403205" y="111777780"/>
          <a:ext cx="95250" cy="19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1304925</xdr:colOff>
      <xdr:row>617</xdr:row>
      <xdr:rowOff>0</xdr:rowOff>
    </xdr:from>
    <xdr:to>
      <xdr:col>10</xdr:col>
      <xdr:colOff>93345</xdr:colOff>
      <xdr:row>618</xdr:row>
      <xdr:rowOff>19050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DFBA9C63-41F8-4C53-9660-DBFDC8BCE5A4}"/>
            </a:ext>
          </a:extLst>
        </xdr:cNvPr>
        <xdr:cNvSpPr txBox="1">
          <a:spLocks noChangeArrowheads="1"/>
        </xdr:cNvSpPr>
      </xdr:nvSpPr>
      <xdr:spPr bwMode="auto">
        <a:xfrm>
          <a:off x="10403205" y="111777780"/>
          <a:ext cx="95250" cy="19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1304925</xdr:colOff>
      <xdr:row>617</xdr:row>
      <xdr:rowOff>0</xdr:rowOff>
    </xdr:from>
    <xdr:to>
      <xdr:col>10</xdr:col>
      <xdr:colOff>93345</xdr:colOff>
      <xdr:row>618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91EFA228-35F6-4267-8668-A7A741907D8C}"/>
            </a:ext>
          </a:extLst>
        </xdr:cNvPr>
        <xdr:cNvSpPr txBox="1">
          <a:spLocks noChangeArrowheads="1"/>
        </xdr:cNvSpPr>
      </xdr:nvSpPr>
      <xdr:spPr bwMode="auto">
        <a:xfrm>
          <a:off x="10403205" y="111777780"/>
          <a:ext cx="95250" cy="19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1304925</xdr:colOff>
      <xdr:row>617</xdr:row>
      <xdr:rowOff>0</xdr:rowOff>
    </xdr:from>
    <xdr:to>
      <xdr:col>10</xdr:col>
      <xdr:colOff>93345</xdr:colOff>
      <xdr:row>618</xdr:row>
      <xdr:rowOff>19050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753D0E3-F534-454D-A9BD-DA92E626AB7D}"/>
            </a:ext>
          </a:extLst>
        </xdr:cNvPr>
        <xdr:cNvSpPr txBox="1">
          <a:spLocks noChangeArrowheads="1"/>
        </xdr:cNvSpPr>
      </xdr:nvSpPr>
      <xdr:spPr bwMode="auto">
        <a:xfrm>
          <a:off x="10403205" y="111777780"/>
          <a:ext cx="95250" cy="19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Documents%20and%20Settings\dell2\Escritorio\Mis%20documentos\presupuestos%202006\85-06%20Reh.%20y%20Ampl.%20Ac.%20Imbert%20(2da.%20alternativa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fd26fbdfac1f2cd/Escritorio/Ing%20ElysRosas%20Precon/9.INAPA/3.-Poster%20Rio/Presupuesto%20y%20Analisis%20de%20Costos%20Unitarios%20LIMPIO%20REDES%20AC_%20PVC%20POSTRER%20RIO%20INDEPENDENCIA%20LISTADO%20PREC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YECTO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napa-fs02\Documents%20and%20Settings\JOEL\Mis%20documentos\Documents%20and%20Settings\Joel%20Francisco\Mis%20documentos\Documents%20and%20Settings\CLAUDIA\Mis%20documentos\TRABAJO%20CLAUDIA\Garibaldy%20Bautista%20(actualizaciones)\analisis%20el%20pino%20junumuc&#250;.xls?D0C0845F" TargetMode="External"/><Relationship Id="rId1" Type="http://schemas.openxmlformats.org/officeDocument/2006/relationships/externalLinkPath" Target="file:///\\D0C0845F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 LIMPIO POSTER RIO list"/>
      <sheetName val="Hoja2"/>
      <sheetName val="ANALISIS DE COSTOS OB"/>
      <sheetName val="Hoja3"/>
    </sheetNames>
    <sheetDataSet>
      <sheetData sheetId="0"/>
      <sheetData sheetId="1"/>
      <sheetData sheetId="2">
        <row r="66">
          <cell r="E66">
            <v>39.47</v>
          </cell>
        </row>
        <row r="72">
          <cell r="I72">
            <v>122.48</v>
          </cell>
        </row>
        <row r="127">
          <cell r="E127">
            <v>28.31</v>
          </cell>
        </row>
        <row r="144">
          <cell r="G144">
            <v>1427.93</v>
          </cell>
        </row>
        <row r="148">
          <cell r="I148">
            <v>269.18</v>
          </cell>
        </row>
        <row r="172">
          <cell r="I172">
            <v>264.72000000000003</v>
          </cell>
        </row>
        <row r="187">
          <cell r="F187">
            <v>918.46716000000004</v>
          </cell>
        </row>
        <row r="192">
          <cell r="F192">
            <v>545.23080000000004</v>
          </cell>
        </row>
        <row r="225">
          <cell r="G225">
            <v>182.27626344299</v>
          </cell>
        </row>
        <row r="256">
          <cell r="G256">
            <v>171.28856440850799</v>
          </cell>
        </row>
        <row r="265">
          <cell r="E265">
            <v>465.55</v>
          </cell>
        </row>
        <row r="272">
          <cell r="E272">
            <v>452.1</v>
          </cell>
        </row>
        <row r="279">
          <cell r="E279">
            <v>263.3</v>
          </cell>
        </row>
        <row r="286">
          <cell r="E286">
            <v>251.5</v>
          </cell>
        </row>
        <row r="293">
          <cell r="E293">
            <v>558.57000000000005</v>
          </cell>
        </row>
        <row r="300">
          <cell r="E300">
            <v>493.4</v>
          </cell>
        </row>
        <row r="307">
          <cell r="E307">
            <v>523.25</v>
          </cell>
        </row>
        <row r="314">
          <cell r="E314">
            <v>239.7</v>
          </cell>
        </row>
        <row r="321">
          <cell r="E321">
            <v>969.22</v>
          </cell>
        </row>
        <row r="328">
          <cell r="E328">
            <v>844.02</v>
          </cell>
        </row>
        <row r="335">
          <cell r="E335">
            <v>740.64</v>
          </cell>
        </row>
        <row r="342">
          <cell r="E342">
            <v>365.4</v>
          </cell>
        </row>
        <row r="349">
          <cell r="E349">
            <v>330</v>
          </cell>
        </row>
        <row r="356">
          <cell r="G356">
            <v>7664.1949999999997</v>
          </cell>
        </row>
        <row r="364">
          <cell r="G364">
            <v>23383</v>
          </cell>
        </row>
        <row r="371">
          <cell r="G371">
            <v>22763.5</v>
          </cell>
        </row>
        <row r="379">
          <cell r="G379">
            <v>7069.41</v>
          </cell>
        </row>
        <row r="383">
          <cell r="I383">
            <v>3405.23</v>
          </cell>
        </row>
        <row r="405">
          <cell r="I405">
            <v>2302.36</v>
          </cell>
        </row>
        <row r="446">
          <cell r="E446">
            <v>154.79</v>
          </cell>
        </row>
        <row r="453">
          <cell r="I453">
            <v>1659.32</v>
          </cell>
        </row>
        <row r="464">
          <cell r="E464">
            <v>285.89999999999998</v>
          </cell>
        </row>
        <row r="470">
          <cell r="I470">
            <v>1192.75</v>
          </cell>
        </row>
        <row r="484">
          <cell r="I484">
            <v>1310.1300000000001</v>
          </cell>
        </row>
        <row r="499">
          <cell r="I499">
            <v>48.26</v>
          </cell>
        </row>
        <row r="511">
          <cell r="I511">
            <v>50.96</v>
          </cell>
        </row>
        <row r="524">
          <cell r="I524">
            <v>166.05</v>
          </cell>
        </row>
        <row r="534">
          <cell r="I534">
            <v>597.63</v>
          </cell>
        </row>
        <row r="549">
          <cell r="E549">
            <v>21</v>
          </cell>
        </row>
        <row r="554">
          <cell r="I554">
            <v>62.54</v>
          </cell>
        </row>
        <row r="566">
          <cell r="I566">
            <v>17.309999999999999</v>
          </cell>
        </row>
        <row r="581">
          <cell r="I581">
            <v>24.84</v>
          </cell>
        </row>
        <row r="596">
          <cell r="I596">
            <v>34268.65</v>
          </cell>
        </row>
        <row r="616">
          <cell r="E616">
            <v>24479.167000000001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LISTADO INSUMOS DEL 2000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50"/>
  <sheetViews>
    <sheetView workbookViewId="0">
      <selection sqref="A1:F1"/>
    </sheetView>
  </sheetViews>
  <sheetFormatPr baseColWidth="10" defaultColWidth="11.42578125" defaultRowHeight="14.25" x14ac:dyDescent="0.2"/>
  <cols>
    <col min="1" max="1" width="8.28515625" style="1" customWidth="1"/>
    <col min="2" max="2" width="52.42578125" style="1" customWidth="1"/>
    <col min="3" max="3" width="10.28515625" style="1" customWidth="1"/>
    <col min="4" max="4" width="7.5703125" style="1" customWidth="1"/>
    <col min="5" max="5" width="13.5703125" style="1" customWidth="1"/>
    <col min="6" max="6" width="15.42578125" style="1" customWidth="1"/>
    <col min="7" max="7" width="16.140625" style="1" customWidth="1"/>
    <col min="8" max="8" width="13" style="1" bestFit="1" customWidth="1"/>
    <col min="9" max="9" width="12.85546875" style="1" bestFit="1" customWidth="1"/>
    <col min="10" max="10" width="11.5703125" style="1" bestFit="1" customWidth="1"/>
    <col min="11" max="11" width="14.140625" style="1" bestFit="1" customWidth="1"/>
    <col min="12" max="12" width="11.5703125" style="1" bestFit="1" customWidth="1"/>
    <col min="13" max="16384" width="11.42578125" style="1"/>
  </cols>
  <sheetData>
    <row r="1" spans="1:11" ht="15" x14ac:dyDescent="0.25">
      <c r="A1" s="356"/>
      <c r="B1" s="356"/>
      <c r="C1" s="356"/>
      <c r="D1" s="356"/>
      <c r="E1" s="356"/>
      <c r="F1" s="356"/>
    </row>
    <row r="2" spans="1:11" ht="15" x14ac:dyDescent="0.25">
      <c r="A2" s="356"/>
      <c r="B2" s="356"/>
      <c r="C2" s="356"/>
      <c r="D2" s="356"/>
      <c r="E2" s="356"/>
      <c r="F2" s="356"/>
    </row>
    <row r="3" spans="1:11" ht="15" x14ac:dyDescent="0.25">
      <c r="A3" s="356"/>
      <c r="B3" s="356"/>
      <c r="C3" s="356"/>
      <c r="D3" s="356"/>
      <c r="E3" s="356"/>
      <c r="F3" s="356"/>
    </row>
    <row r="4" spans="1:11" ht="15" x14ac:dyDescent="0.25">
      <c r="A4" s="356"/>
      <c r="B4" s="356"/>
      <c r="C4" s="356"/>
      <c r="D4" s="356"/>
      <c r="E4" s="356"/>
      <c r="F4" s="356"/>
    </row>
    <row r="5" spans="1:11" ht="15" x14ac:dyDescent="0.25">
      <c r="A5" s="43"/>
      <c r="B5" s="43"/>
      <c r="C5" s="43"/>
      <c r="D5" s="43"/>
      <c r="E5" s="43"/>
      <c r="F5" s="43"/>
    </row>
    <row r="6" spans="1:11" x14ac:dyDescent="0.2">
      <c r="A6" s="13"/>
      <c r="B6" s="14"/>
      <c r="C6" s="13"/>
      <c r="D6" s="13"/>
      <c r="E6" s="13"/>
      <c r="F6" s="13"/>
    </row>
    <row r="7" spans="1:11" x14ac:dyDescent="0.2">
      <c r="A7" s="15" t="s">
        <v>21</v>
      </c>
      <c r="B7" s="13" t="s">
        <v>23</v>
      </c>
      <c r="C7" s="13"/>
      <c r="D7" s="13"/>
      <c r="E7" s="13"/>
      <c r="F7" s="13"/>
      <c r="J7" s="2"/>
    </row>
    <row r="8" spans="1:11" x14ac:dyDescent="0.2">
      <c r="A8" s="13" t="s">
        <v>30</v>
      </c>
      <c r="B8" s="13"/>
      <c r="C8" s="13"/>
      <c r="D8" s="13"/>
      <c r="E8" s="13" t="s">
        <v>13</v>
      </c>
      <c r="F8" s="13"/>
      <c r="K8" s="2"/>
    </row>
    <row r="9" spans="1:11" ht="15" x14ac:dyDescent="0.25">
      <c r="A9" s="357"/>
      <c r="B9" s="357"/>
      <c r="C9" s="357"/>
      <c r="D9" s="357"/>
      <c r="E9" s="357"/>
      <c r="F9" s="357"/>
    </row>
    <row r="10" spans="1:11" ht="15" x14ac:dyDescent="0.25">
      <c r="A10" s="87" t="s">
        <v>0</v>
      </c>
      <c r="B10" s="87" t="s">
        <v>1</v>
      </c>
      <c r="C10" s="87" t="s">
        <v>8</v>
      </c>
      <c r="D10" s="87" t="s">
        <v>2</v>
      </c>
      <c r="E10" s="16" t="s">
        <v>3</v>
      </c>
      <c r="F10" s="16" t="s">
        <v>4</v>
      </c>
    </row>
    <row r="11" spans="1:11" ht="15" x14ac:dyDescent="0.25">
      <c r="A11" s="88"/>
      <c r="B11" s="88"/>
      <c r="C11" s="88"/>
      <c r="D11" s="88"/>
      <c r="E11" s="17"/>
      <c r="F11" s="17"/>
    </row>
    <row r="12" spans="1:11" ht="15" x14ac:dyDescent="0.25">
      <c r="A12" s="89" t="s">
        <v>10</v>
      </c>
      <c r="B12" s="90" t="s">
        <v>24</v>
      </c>
      <c r="C12" s="91"/>
      <c r="D12" s="92"/>
      <c r="E12" s="18"/>
      <c r="F12" s="19"/>
    </row>
    <row r="13" spans="1:11" x14ac:dyDescent="0.2">
      <c r="A13" s="93"/>
      <c r="B13" s="94"/>
      <c r="C13" s="91"/>
      <c r="D13" s="92"/>
      <c r="E13" s="18"/>
      <c r="F13" s="18"/>
    </row>
    <row r="14" spans="1:11" ht="15" x14ac:dyDescent="0.2">
      <c r="A14" s="95">
        <v>1</v>
      </c>
      <c r="B14" s="96" t="s">
        <v>86</v>
      </c>
      <c r="C14" s="91"/>
      <c r="D14" s="92"/>
      <c r="E14" s="18"/>
      <c r="F14" s="18"/>
    </row>
    <row r="15" spans="1:11" x14ac:dyDescent="0.2">
      <c r="A15" s="97">
        <v>1.1000000000000001</v>
      </c>
      <c r="B15" s="98" t="s">
        <v>51</v>
      </c>
      <c r="C15" s="99">
        <v>14085</v>
      </c>
      <c r="D15" s="100" t="s">
        <v>12</v>
      </c>
      <c r="E15" s="101">
        <f>+'[22]ANALISIS DE COSTOS OB'!E66</f>
        <v>39.47</v>
      </c>
      <c r="F15" s="102">
        <f>+E15*C15</f>
        <v>555934.94999999995</v>
      </c>
      <c r="G15" s="2"/>
      <c r="I15" s="3"/>
      <c r="K15" s="2"/>
    </row>
    <row r="16" spans="1:11" x14ac:dyDescent="0.2">
      <c r="A16" s="97"/>
      <c r="B16" s="98"/>
      <c r="C16" s="99"/>
      <c r="D16" s="100"/>
      <c r="E16" s="101"/>
      <c r="F16" s="102">
        <f t="shared" ref="F16:F79" si="0">+E16*C16</f>
        <v>0</v>
      </c>
      <c r="G16" s="2"/>
      <c r="K16" s="2"/>
    </row>
    <row r="17" spans="1:11" ht="15" x14ac:dyDescent="0.2">
      <c r="A17" s="95">
        <v>2</v>
      </c>
      <c r="B17" s="96" t="s">
        <v>15</v>
      </c>
      <c r="C17" s="99"/>
      <c r="D17" s="100"/>
      <c r="E17" s="101"/>
      <c r="F17" s="102">
        <f t="shared" si="0"/>
        <v>0</v>
      </c>
      <c r="G17" s="2"/>
      <c r="K17" s="2"/>
    </row>
    <row r="18" spans="1:11" ht="16.5" x14ac:dyDescent="0.2">
      <c r="A18" s="97">
        <f>0.1+A17</f>
        <v>2.1</v>
      </c>
      <c r="B18" s="98" t="s">
        <v>52</v>
      </c>
      <c r="C18" s="99">
        <v>10093.93</v>
      </c>
      <c r="D18" s="103" t="s">
        <v>47</v>
      </c>
      <c r="E18" s="101">
        <f>+'[22]ANALISIS DE COSTOS OB'!I72</f>
        <v>122.48</v>
      </c>
      <c r="F18" s="102">
        <f t="shared" si="0"/>
        <v>1236304.55</v>
      </c>
      <c r="G18" s="2"/>
      <c r="H18" s="2"/>
      <c r="I18" s="4"/>
      <c r="K18" s="2"/>
    </row>
    <row r="19" spans="1:11" ht="16.5" x14ac:dyDescent="0.2">
      <c r="A19" s="97">
        <f t="shared" ref="A19:A22" si="1">0.1+A18</f>
        <v>2.2000000000000002</v>
      </c>
      <c r="B19" s="98" t="s">
        <v>53</v>
      </c>
      <c r="C19" s="99">
        <v>9392.5</v>
      </c>
      <c r="D19" s="103" t="s">
        <v>48</v>
      </c>
      <c r="E19" s="101">
        <f>+'[22]ANALISIS DE COSTOS OB'!E127</f>
        <v>28.31</v>
      </c>
      <c r="F19" s="102">
        <f t="shared" si="0"/>
        <v>265901.68</v>
      </c>
      <c r="G19" s="2"/>
      <c r="H19" s="2"/>
      <c r="K19" s="2"/>
    </row>
    <row r="20" spans="1:11" ht="16.5" x14ac:dyDescent="0.2">
      <c r="A20" s="97">
        <f t="shared" si="1"/>
        <v>2.2999999999999998</v>
      </c>
      <c r="B20" s="98" t="s">
        <v>54</v>
      </c>
      <c r="C20" s="99">
        <v>985.95</v>
      </c>
      <c r="D20" s="103" t="s">
        <v>47</v>
      </c>
      <c r="E20" s="101">
        <f>+'[22]ANALISIS DE COSTOS OB'!G144</f>
        <v>1427.93</v>
      </c>
      <c r="F20" s="102">
        <f t="shared" si="0"/>
        <v>1407867.58</v>
      </c>
      <c r="G20" s="2"/>
      <c r="I20" s="2"/>
      <c r="K20" s="2"/>
    </row>
    <row r="21" spans="1:11" ht="42.75" x14ac:dyDescent="0.2">
      <c r="A21" s="97">
        <f t="shared" si="1"/>
        <v>2.4</v>
      </c>
      <c r="B21" s="104" t="s">
        <v>87</v>
      </c>
      <c r="C21" s="105">
        <v>8575.59</v>
      </c>
      <c r="D21" s="103" t="s">
        <v>47</v>
      </c>
      <c r="E21" s="102">
        <f>+'[22]ANALISIS DE COSTOS OB'!I148</f>
        <v>269.18</v>
      </c>
      <c r="F21" s="102">
        <f t="shared" si="0"/>
        <v>2308377.3199999998</v>
      </c>
      <c r="G21" s="2"/>
      <c r="H21" s="2"/>
      <c r="I21" s="5"/>
      <c r="K21" s="2"/>
    </row>
    <row r="22" spans="1:11" ht="28.5" x14ac:dyDescent="0.2">
      <c r="A22" s="97">
        <f t="shared" si="1"/>
        <v>2.5</v>
      </c>
      <c r="B22" s="106" t="s">
        <v>61</v>
      </c>
      <c r="C22" s="105">
        <v>1822.01</v>
      </c>
      <c r="D22" s="103" t="s">
        <v>47</v>
      </c>
      <c r="E22" s="102">
        <f>+'[22]ANALISIS DE COSTOS OB'!I172</f>
        <v>264.72000000000003</v>
      </c>
      <c r="F22" s="102">
        <f t="shared" si="0"/>
        <v>482322.49</v>
      </c>
      <c r="G22" s="2"/>
      <c r="I22" s="4"/>
      <c r="K22" s="2"/>
    </row>
    <row r="23" spans="1:11" x14ac:dyDescent="0.2">
      <c r="A23" s="97"/>
      <c r="B23" s="98"/>
      <c r="C23" s="99"/>
      <c r="D23" s="100"/>
      <c r="E23" s="101"/>
      <c r="F23" s="102">
        <f t="shared" si="0"/>
        <v>0</v>
      </c>
      <c r="G23" s="2"/>
      <c r="K23" s="2"/>
    </row>
    <row r="24" spans="1:11" ht="15" x14ac:dyDescent="0.2">
      <c r="A24" s="95">
        <v>3</v>
      </c>
      <c r="B24" s="96" t="s">
        <v>25</v>
      </c>
      <c r="C24" s="99"/>
      <c r="D24" s="100"/>
      <c r="E24" s="101"/>
      <c r="F24" s="102">
        <f t="shared" si="0"/>
        <v>0</v>
      </c>
      <c r="G24" s="2"/>
      <c r="K24" s="2"/>
    </row>
    <row r="25" spans="1:11" x14ac:dyDescent="0.2">
      <c r="A25" s="97">
        <v>3.1</v>
      </c>
      <c r="B25" s="98" t="s">
        <v>55</v>
      </c>
      <c r="C25" s="99">
        <v>4839.8999999999996</v>
      </c>
      <c r="D25" s="100" t="s">
        <v>12</v>
      </c>
      <c r="E25" s="101">
        <f>+'[22]ANALISIS DE COSTOS OB'!F187</f>
        <v>918.47</v>
      </c>
      <c r="F25" s="102">
        <f t="shared" si="0"/>
        <v>4445302.95</v>
      </c>
      <c r="G25" s="2"/>
      <c r="H25" s="2"/>
      <c r="I25" s="2"/>
      <c r="K25" s="2"/>
    </row>
    <row r="26" spans="1:11" x14ac:dyDescent="0.2">
      <c r="A26" s="97">
        <v>3.2</v>
      </c>
      <c r="B26" s="98" t="s">
        <v>56</v>
      </c>
      <c r="C26" s="99">
        <v>9526.7999999999993</v>
      </c>
      <c r="D26" s="100" t="s">
        <v>12</v>
      </c>
      <c r="E26" s="101">
        <f>+'[22]ANALISIS DE COSTOS OB'!F192</f>
        <v>545.23</v>
      </c>
      <c r="F26" s="102">
        <f t="shared" si="0"/>
        <v>5194297.16</v>
      </c>
      <c r="G26" s="2"/>
      <c r="H26" s="2"/>
      <c r="I26" s="2"/>
      <c r="K26" s="2"/>
    </row>
    <row r="27" spans="1:11" x14ac:dyDescent="0.2">
      <c r="A27" s="97"/>
      <c r="B27" s="98"/>
      <c r="C27" s="99"/>
      <c r="D27" s="100"/>
      <c r="E27" s="101"/>
      <c r="F27" s="102">
        <f t="shared" si="0"/>
        <v>0</v>
      </c>
      <c r="G27" s="2"/>
      <c r="K27" s="2"/>
    </row>
    <row r="28" spans="1:11" ht="15" x14ac:dyDescent="0.2">
      <c r="A28" s="95">
        <v>4</v>
      </c>
      <c r="B28" s="96" t="s">
        <v>26</v>
      </c>
      <c r="C28" s="99"/>
      <c r="D28" s="100"/>
      <c r="E28" s="101"/>
      <c r="F28" s="102">
        <f t="shared" si="0"/>
        <v>0</v>
      </c>
      <c r="G28" s="2"/>
      <c r="K28" s="2"/>
    </row>
    <row r="29" spans="1:11" x14ac:dyDescent="0.2">
      <c r="A29" s="97">
        <v>4.0999999999999996</v>
      </c>
      <c r="B29" s="98" t="s">
        <v>57</v>
      </c>
      <c r="C29" s="99">
        <v>4839.8999999999996</v>
      </c>
      <c r="D29" s="100" t="s">
        <v>12</v>
      </c>
      <c r="E29" s="101">
        <f>+'[22]ANALISIS DE COSTOS OB'!G225</f>
        <v>182.28</v>
      </c>
      <c r="F29" s="102">
        <f t="shared" si="0"/>
        <v>882216.97</v>
      </c>
      <c r="G29" s="2"/>
      <c r="H29" s="2"/>
      <c r="I29" s="2"/>
      <c r="K29" s="2"/>
    </row>
    <row r="30" spans="1:11" x14ac:dyDescent="0.2">
      <c r="A30" s="97">
        <v>4.2</v>
      </c>
      <c r="B30" s="98" t="s">
        <v>58</v>
      </c>
      <c r="C30" s="99">
        <v>9526.7999999999993</v>
      </c>
      <c r="D30" s="100" t="s">
        <v>12</v>
      </c>
      <c r="E30" s="101">
        <f>+'[22]ANALISIS DE COSTOS OB'!G256</f>
        <v>171.29</v>
      </c>
      <c r="F30" s="102">
        <f t="shared" si="0"/>
        <v>1631845.57</v>
      </c>
      <c r="G30" s="2"/>
      <c r="H30" s="2"/>
      <c r="I30" s="2"/>
      <c r="K30" s="2"/>
    </row>
    <row r="31" spans="1:11" x14ac:dyDescent="0.2">
      <c r="A31" s="97"/>
      <c r="B31" s="98"/>
      <c r="C31" s="99"/>
      <c r="D31" s="100"/>
      <c r="E31" s="101"/>
      <c r="F31" s="102">
        <f t="shared" si="0"/>
        <v>0</v>
      </c>
      <c r="G31" s="2"/>
      <c r="H31" s="2"/>
      <c r="K31" s="2"/>
    </row>
    <row r="32" spans="1:11" s="7" customFormat="1" ht="30" x14ac:dyDescent="0.2">
      <c r="A32" s="107">
        <v>5</v>
      </c>
      <c r="B32" s="108" t="s">
        <v>31</v>
      </c>
      <c r="C32" s="109"/>
      <c r="D32" s="110"/>
      <c r="E32" s="111"/>
      <c r="F32" s="102">
        <f t="shared" si="0"/>
        <v>0</v>
      </c>
      <c r="G32" s="6"/>
      <c r="H32" s="6"/>
      <c r="K32" s="6"/>
    </row>
    <row r="33" spans="1:11" s="7" customFormat="1" x14ac:dyDescent="0.2">
      <c r="A33" s="112">
        <f>0.1+A32</f>
        <v>5.0999999999999996</v>
      </c>
      <c r="B33" s="113" t="s">
        <v>33</v>
      </c>
      <c r="C33" s="114">
        <v>1</v>
      </c>
      <c r="D33" s="110" t="s">
        <v>32</v>
      </c>
      <c r="E33" s="111">
        <f>+'[22]ANALISIS DE COSTOS OB'!E265</f>
        <v>465.55</v>
      </c>
      <c r="F33" s="102">
        <f t="shared" si="0"/>
        <v>465.55</v>
      </c>
      <c r="G33" s="6"/>
      <c r="H33" s="6"/>
      <c r="K33" s="6"/>
    </row>
    <row r="34" spans="1:11" s="7" customFormat="1" x14ac:dyDescent="0.2">
      <c r="A34" s="112">
        <f t="shared" ref="A34:A41" si="2">0.1+A33</f>
        <v>5.2</v>
      </c>
      <c r="B34" s="113" t="s">
        <v>34</v>
      </c>
      <c r="C34" s="114">
        <v>13</v>
      </c>
      <c r="D34" s="110" t="s">
        <v>32</v>
      </c>
      <c r="E34" s="111">
        <f>+'[22]ANALISIS DE COSTOS OB'!E272</f>
        <v>452.1</v>
      </c>
      <c r="F34" s="102">
        <f t="shared" si="0"/>
        <v>5877.3</v>
      </c>
      <c r="G34" s="6"/>
      <c r="H34" s="6"/>
      <c r="K34" s="6"/>
    </row>
    <row r="35" spans="1:11" x14ac:dyDescent="0.2">
      <c r="A35" s="112">
        <f t="shared" si="2"/>
        <v>5.3</v>
      </c>
      <c r="B35" s="113" t="s">
        <v>35</v>
      </c>
      <c r="C35" s="115">
        <v>4</v>
      </c>
      <c r="D35" s="103" t="s">
        <v>32</v>
      </c>
      <c r="E35" s="111">
        <f>+'[22]ANALISIS DE COSTOS OB'!E279</f>
        <v>263.3</v>
      </c>
      <c r="F35" s="102">
        <f t="shared" si="0"/>
        <v>1053.2</v>
      </c>
      <c r="G35" s="2"/>
      <c r="H35" s="2"/>
      <c r="K35" s="2"/>
    </row>
    <row r="36" spans="1:11" x14ac:dyDescent="0.2">
      <c r="A36" s="112">
        <f t="shared" si="2"/>
        <v>5.4</v>
      </c>
      <c r="B36" s="113" t="s">
        <v>36</v>
      </c>
      <c r="C36" s="115">
        <v>36</v>
      </c>
      <c r="D36" s="103" t="s">
        <v>32</v>
      </c>
      <c r="E36" s="111">
        <f>+'[22]ANALISIS DE COSTOS OB'!E286</f>
        <v>251.5</v>
      </c>
      <c r="F36" s="102">
        <f t="shared" si="0"/>
        <v>9054</v>
      </c>
      <c r="G36" s="2"/>
      <c r="H36" s="2"/>
      <c r="K36" s="2"/>
    </row>
    <row r="37" spans="1:11" x14ac:dyDescent="0.2">
      <c r="A37" s="112">
        <f t="shared" si="2"/>
        <v>5.5</v>
      </c>
      <c r="B37" s="113" t="s">
        <v>37</v>
      </c>
      <c r="C37" s="116">
        <v>38</v>
      </c>
      <c r="D37" s="103" t="s">
        <v>32</v>
      </c>
      <c r="E37" s="111">
        <f>+'[22]ANALISIS DE COSTOS OB'!E293</f>
        <v>558.57000000000005</v>
      </c>
      <c r="F37" s="102">
        <f t="shared" si="0"/>
        <v>21225.66</v>
      </c>
      <c r="G37" s="2"/>
      <c r="H37" s="2"/>
      <c r="K37" s="2"/>
    </row>
    <row r="38" spans="1:11" x14ac:dyDescent="0.2">
      <c r="A38" s="112">
        <f t="shared" si="2"/>
        <v>5.6</v>
      </c>
      <c r="B38" s="113" t="s">
        <v>38</v>
      </c>
      <c r="C38" s="116">
        <v>26</v>
      </c>
      <c r="D38" s="103" t="s">
        <v>32</v>
      </c>
      <c r="E38" s="111">
        <f>+'[22]ANALISIS DE COSTOS OB'!E300</f>
        <v>493.4</v>
      </c>
      <c r="F38" s="102">
        <f t="shared" si="0"/>
        <v>12828.4</v>
      </c>
      <c r="G38" s="2"/>
      <c r="H38" s="2"/>
      <c r="K38" s="2"/>
    </row>
    <row r="39" spans="1:11" x14ac:dyDescent="0.2">
      <c r="A39" s="112">
        <f t="shared" si="2"/>
        <v>5.7</v>
      </c>
      <c r="B39" s="113" t="s">
        <v>39</v>
      </c>
      <c r="C39" s="116">
        <v>4</v>
      </c>
      <c r="D39" s="103" t="s">
        <v>32</v>
      </c>
      <c r="E39" s="111">
        <f>+'[22]ANALISIS DE COSTOS OB'!E307</f>
        <v>523.25</v>
      </c>
      <c r="F39" s="102">
        <f t="shared" si="0"/>
        <v>2093</v>
      </c>
      <c r="G39" s="2"/>
      <c r="H39" s="2"/>
      <c r="K39" s="2"/>
    </row>
    <row r="40" spans="1:11" x14ac:dyDescent="0.2">
      <c r="A40" s="112">
        <f t="shared" si="2"/>
        <v>5.8</v>
      </c>
      <c r="B40" s="113" t="s">
        <v>40</v>
      </c>
      <c r="C40" s="116">
        <v>3</v>
      </c>
      <c r="D40" s="103" t="s">
        <v>32</v>
      </c>
      <c r="E40" s="101">
        <f>+'[22]ANALISIS DE COSTOS OB'!E314</f>
        <v>239.7</v>
      </c>
      <c r="F40" s="102">
        <f t="shared" si="0"/>
        <v>719.1</v>
      </c>
      <c r="G40" s="2"/>
      <c r="H40" s="2"/>
      <c r="K40" s="2"/>
    </row>
    <row r="41" spans="1:11" x14ac:dyDescent="0.2">
      <c r="A41" s="112">
        <f t="shared" si="2"/>
        <v>5.9</v>
      </c>
      <c r="B41" s="113" t="s">
        <v>50</v>
      </c>
      <c r="C41" s="115">
        <v>1</v>
      </c>
      <c r="D41" s="103" t="s">
        <v>32</v>
      </c>
      <c r="E41" s="101">
        <f>+'[22]ANALISIS DE COSTOS OB'!E321</f>
        <v>969.22</v>
      </c>
      <c r="F41" s="102">
        <f t="shared" si="0"/>
        <v>969.22</v>
      </c>
      <c r="G41" s="2"/>
      <c r="H41" s="2"/>
      <c r="K41" s="2"/>
    </row>
    <row r="42" spans="1:11" x14ac:dyDescent="0.2">
      <c r="A42" s="117">
        <v>5.0999999999999996</v>
      </c>
      <c r="B42" s="113" t="s">
        <v>41</v>
      </c>
      <c r="C42" s="115">
        <v>1</v>
      </c>
      <c r="D42" s="103" t="s">
        <v>32</v>
      </c>
      <c r="E42" s="101">
        <f>+'[22]ANALISIS DE COSTOS OB'!E328</f>
        <v>844.02</v>
      </c>
      <c r="F42" s="102">
        <f t="shared" si="0"/>
        <v>844.02</v>
      </c>
      <c r="G42" s="2"/>
      <c r="H42" s="2"/>
      <c r="K42" s="2"/>
    </row>
    <row r="43" spans="1:11" x14ac:dyDescent="0.2">
      <c r="A43" s="117">
        <f>0.01+A42</f>
        <v>5.1100000000000003</v>
      </c>
      <c r="B43" s="113" t="s">
        <v>42</v>
      </c>
      <c r="C43" s="115">
        <v>33</v>
      </c>
      <c r="D43" s="103" t="s">
        <v>32</v>
      </c>
      <c r="E43" s="101">
        <f>+'[22]ANALISIS DE COSTOS OB'!E335</f>
        <v>740.64</v>
      </c>
      <c r="F43" s="102">
        <f t="shared" si="0"/>
        <v>24441.119999999999</v>
      </c>
      <c r="G43" s="2"/>
      <c r="H43" s="2"/>
      <c r="K43" s="2"/>
    </row>
    <row r="44" spans="1:11" x14ac:dyDescent="0.2">
      <c r="A44" s="112">
        <f t="shared" ref="A44:A46" si="3">0.01+A43</f>
        <v>5.12</v>
      </c>
      <c r="B44" s="118" t="s">
        <v>43</v>
      </c>
      <c r="C44" s="99">
        <v>1</v>
      </c>
      <c r="D44" s="103" t="s">
        <v>32</v>
      </c>
      <c r="E44" s="101">
        <f>+'[22]ANALISIS DE COSTOS OB'!E342</f>
        <v>365.4</v>
      </c>
      <c r="F44" s="102">
        <f t="shared" si="0"/>
        <v>365.4</v>
      </c>
      <c r="G44" s="2"/>
      <c r="H44" s="2"/>
      <c r="K44" s="2"/>
    </row>
    <row r="45" spans="1:11" x14ac:dyDescent="0.2">
      <c r="A45" s="112">
        <f t="shared" si="3"/>
        <v>5.13</v>
      </c>
      <c r="B45" s="118" t="s">
        <v>44</v>
      </c>
      <c r="C45" s="99">
        <v>16</v>
      </c>
      <c r="D45" s="103" t="s">
        <v>32</v>
      </c>
      <c r="E45" s="101">
        <f>+'[22]ANALISIS DE COSTOS OB'!E349</f>
        <v>330</v>
      </c>
      <c r="F45" s="102">
        <f t="shared" si="0"/>
        <v>5280</v>
      </c>
      <c r="G45" s="2"/>
      <c r="H45" s="2"/>
      <c r="K45" s="2"/>
    </row>
    <row r="46" spans="1:11" x14ac:dyDescent="0.2">
      <c r="A46" s="112">
        <f t="shared" si="3"/>
        <v>5.14</v>
      </c>
      <c r="B46" s="119" t="s">
        <v>46</v>
      </c>
      <c r="C46" s="99">
        <v>8.85</v>
      </c>
      <c r="D46" s="103" t="s">
        <v>45</v>
      </c>
      <c r="E46" s="101">
        <f>+'[22]ANALISIS DE COSTOS OB'!G356</f>
        <v>7664.2</v>
      </c>
      <c r="F46" s="102">
        <f t="shared" si="0"/>
        <v>67828.17</v>
      </c>
      <c r="G46" s="2"/>
      <c r="H46" s="2"/>
      <c r="K46" s="2"/>
    </row>
    <row r="47" spans="1:11" x14ac:dyDescent="0.2">
      <c r="A47" s="120"/>
      <c r="B47" s="121"/>
      <c r="C47" s="122"/>
      <c r="D47" s="123"/>
      <c r="E47" s="124"/>
      <c r="F47" s="102">
        <f t="shared" si="0"/>
        <v>0</v>
      </c>
      <c r="G47" s="2"/>
      <c r="H47" s="2"/>
      <c r="K47" s="2"/>
    </row>
    <row r="48" spans="1:11" ht="15" x14ac:dyDescent="0.2">
      <c r="A48" s="95">
        <v>6</v>
      </c>
      <c r="B48" s="125" t="s">
        <v>27</v>
      </c>
      <c r="C48" s="99"/>
      <c r="D48" s="100"/>
      <c r="E48" s="101"/>
      <c r="F48" s="102">
        <f t="shared" si="0"/>
        <v>0</v>
      </c>
      <c r="G48" s="2"/>
      <c r="K48" s="2"/>
    </row>
    <row r="49" spans="1:11" ht="57" x14ac:dyDescent="0.2">
      <c r="A49" s="97">
        <f>0.1+A48</f>
        <v>6.1</v>
      </c>
      <c r="B49" s="104" t="s">
        <v>62</v>
      </c>
      <c r="C49" s="105">
        <v>3</v>
      </c>
      <c r="D49" s="103" t="s">
        <v>32</v>
      </c>
      <c r="E49" s="102">
        <f>+'[22]ANALISIS DE COSTOS OB'!G364</f>
        <v>23383</v>
      </c>
      <c r="F49" s="102">
        <f t="shared" si="0"/>
        <v>70149</v>
      </c>
      <c r="G49" s="2"/>
      <c r="K49" s="2"/>
    </row>
    <row r="50" spans="1:11" ht="57" x14ac:dyDescent="0.2">
      <c r="A50" s="97">
        <v>6.2</v>
      </c>
      <c r="B50" s="104" t="s">
        <v>63</v>
      </c>
      <c r="C50" s="105">
        <v>3</v>
      </c>
      <c r="D50" s="103" t="s">
        <v>32</v>
      </c>
      <c r="E50" s="102">
        <f>+'[22]ANALISIS DE COSTOS OB'!G371</f>
        <v>22763.5</v>
      </c>
      <c r="F50" s="102">
        <f t="shared" si="0"/>
        <v>68290.5</v>
      </c>
      <c r="G50" s="2"/>
      <c r="K50" s="2"/>
    </row>
    <row r="51" spans="1:11" x14ac:dyDescent="0.2">
      <c r="A51" s="97">
        <v>6.3</v>
      </c>
      <c r="B51" s="98" t="s">
        <v>64</v>
      </c>
      <c r="C51" s="99">
        <v>6</v>
      </c>
      <c r="D51" s="103" t="s">
        <v>32</v>
      </c>
      <c r="E51" s="101">
        <f>+'[22]ANALISIS DE COSTOS OB'!G379</f>
        <v>7069.41</v>
      </c>
      <c r="F51" s="102">
        <f t="shared" si="0"/>
        <v>42416.46</v>
      </c>
      <c r="G51" s="2"/>
      <c r="K51" s="2"/>
    </row>
    <row r="52" spans="1:11" x14ac:dyDescent="0.2">
      <c r="A52" s="97"/>
      <c r="B52" s="98"/>
      <c r="C52" s="99"/>
      <c r="D52" s="100"/>
      <c r="E52" s="101"/>
      <c r="F52" s="102">
        <f t="shared" si="0"/>
        <v>0</v>
      </c>
      <c r="G52" s="2"/>
      <c r="K52" s="2"/>
    </row>
    <row r="53" spans="1:11" ht="15" x14ac:dyDescent="0.2">
      <c r="A53" s="126">
        <v>7</v>
      </c>
      <c r="B53" s="127" t="s">
        <v>59</v>
      </c>
      <c r="C53" s="128"/>
      <c r="D53" s="129"/>
      <c r="E53" s="130"/>
      <c r="F53" s="102">
        <f t="shared" si="0"/>
        <v>0</v>
      </c>
      <c r="G53" s="2"/>
      <c r="K53" s="2"/>
    </row>
    <row r="54" spans="1:11" ht="31.5" customHeight="1" x14ac:dyDescent="0.2">
      <c r="A54" s="131">
        <f t="shared" ref="A54:A55" si="4">+A53+0.1</f>
        <v>7.1</v>
      </c>
      <c r="B54" s="132" t="s">
        <v>88</v>
      </c>
      <c r="C54" s="31">
        <v>700</v>
      </c>
      <c r="D54" s="133" t="s">
        <v>32</v>
      </c>
      <c r="E54" s="20">
        <f>+'[22]ANALISIS DE COSTOS OB'!I383</f>
        <v>3405.23</v>
      </c>
      <c r="F54" s="102">
        <f t="shared" si="0"/>
        <v>2383661</v>
      </c>
      <c r="G54" s="2"/>
      <c r="K54" s="2"/>
    </row>
    <row r="55" spans="1:11" x14ac:dyDescent="0.2">
      <c r="A55" s="131">
        <f t="shared" si="4"/>
        <v>7.2</v>
      </c>
      <c r="B55" s="98" t="s">
        <v>60</v>
      </c>
      <c r="C55" s="99">
        <v>300</v>
      </c>
      <c r="D55" s="133" t="s">
        <v>32</v>
      </c>
      <c r="E55" s="101">
        <f>+'[22]ANALISIS DE COSTOS OB'!I405</f>
        <v>2302.36</v>
      </c>
      <c r="F55" s="102">
        <f t="shared" si="0"/>
        <v>690708</v>
      </c>
      <c r="G55" s="2"/>
      <c r="K55" s="2"/>
    </row>
    <row r="56" spans="1:11" x14ac:dyDescent="0.2">
      <c r="A56" s="97"/>
      <c r="B56" s="98"/>
      <c r="C56" s="99"/>
      <c r="D56" s="100"/>
      <c r="E56" s="101"/>
      <c r="F56" s="102">
        <f t="shared" si="0"/>
        <v>0</v>
      </c>
      <c r="G56" s="2"/>
      <c r="K56" s="2"/>
    </row>
    <row r="57" spans="1:11" ht="15" x14ac:dyDescent="0.2">
      <c r="A57" s="95">
        <v>8</v>
      </c>
      <c r="B57" s="96" t="s">
        <v>28</v>
      </c>
      <c r="C57" s="134"/>
      <c r="D57" s="135"/>
      <c r="E57" s="136"/>
      <c r="F57" s="102">
        <f t="shared" si="0"/>
        <v>0</v>
      </c>
      <c r="G57" s="2"/>
      <c r="K57" s="2"/>
    </row>
    <row r="58" spans="1:11" x14ac:dyDescent="0.2">
      <c r="A58" s="97">
        <f>0.1+A57</f>
        <v>8.1</v>
      </c>
      <c r="B58" s="98" t="s">
        <v>57</v>
      </c>
      <c r="C58" s="134">
        <v>4775</v>
      </c>
      <c r="D58" s="135" t="s">
        <v>12</v>
      </c>
      <c r="E58" s="136">
        <f>+'[22]ANALISIS DE COSTOS OB'!E446</f>
        <v>154.79</v>
      </c>
      <c r="F58" s="102">
        <f t="shared" si="0"/>
        <v>739122.25</v>
      </c>
      <c r="G58" s="2"/>
      <c r="J58" s="2"/>
      <c r="K58" s="2"/>
    </row>
    <row r="59" spans="1:11" x14ac:dyDescent="0.2">
      <c r="A59" s="97">
        <f>0.1+A58</f>
        <v>8.1999999999999993</v>
      </c>
      <c r="B59" s="98" t="s">
        <v>58</v>
      </c>
      <c r="C59" s="134">
        <v>9340</v>
      </c>
      <c r="D59" s="135" t="s">
        <v>12</v>
      </c>
      <c r="E59" s="136">
        <f>+'[22]ANALISIS DE COSTOS OB'!E446</f>
        <v>154.79</v>
      </c>
      <c r="F59" s="102">
        <f t="shared" si="0"/>
        <v>1445738.6</v>
      </c>
      <c r="G59" s="2"/>
      <c r="J59" s="2"/>
      <c r="K59" s="2"/>
    </row>
    <row r="60" spans="1:11" x14ac:dyDescent="0.2">
      <c r="A60" s="97"/>
      <c r="B60" s="98"/>
      <c r="C60" s="134"/>
      <c r="D60" s="135"/>
      <c r="E60" s="136"/>
      <c r="F60" s="102">
        <f t="shared" si="0"/>
        <v>0</v>
      </c>
      <c r="G60" s="2"/>
      <c r="K60" s="2"/>
    </row>
    <row r="61" spans="1:11" ht="15" x14ac:dyDescent="0.2">
      <c r="A61" s="95">
        <v>9</v>
      </c>
      <c r="B61" s="96" t="s">
        <v>20</v>
      </c>
      <c r="C61" s="134"/>
      <c r="D61" s="135"/>
      <c r="E61" s="136"/>
      <c r="F61" s="102">
        <f t="shared" si="0"/>
        <v>0</v>
      </c>
      <c r="G61" s="2"/>
      <c r="K61" s="2"/>
    </row>
    <row r="62" spans="1:11" ht="16.5" x14ac:dyDescent="0.2">
      <c r="A62" s="97">
        <f>0.1+A61</f>
        <v>9.1</v>
      </c>
      <c r="B62" s="98" t="s">
        <v>65</v>
      </c>
      <c r="C62" s="134">
        <v>66</v>
      </c>
      <c r="D62" s="100" t="s">
        <v>47</v>
      </c>
      <c r="E62" s="136">
        <f>+'[22]ANALISIS DE COSTOS OB'!I453</f>
        <v>1659.32</v>
      </c>
      <c r="F62" s="102">
        <f t="shared" si="0"/>
        <v>109515.12</v>
      </c>
      <c r="G62" s="2"/>
      <c r="K62" s="2"/>
    </row>
    <row r="63" spans="1:11" ht="16.5" x14ac:dyDescent="0.2">
      <c r="A63" s="97">
        <f>0.1+A62</f>
        <v>9.1999999999999993</v>
      </c>
      <c r="B63" s="98" t="s">
        <v>66</v>
      </c>
      <c r="C63" s="134">
        <v>85.8</v>
      </c>
      <c r="D63" s="100" t="s">
        <v>47</v>
      </c>
      <c r="E63" s="136">
        <f>+'[22]ANALISIS DE COSTOS OB'!E464</f>
        <v>285.89999999999998</v>
      </c>
      <c r="F63" s="102">
        <f t="shared" si="0"/>
        <v>24530.22</v>
      </c>
      <c r="G63" s="2"/>
      <c r="K63" s="2"/>
    </row>
    <row r="64" spans="1:11" x14ac:dyDescent="0.2">
      <c r="A64" s="97"/>
      <c r="B64" s="98"/>
      <c r="C64" s="134"/>
      <c r="D64" s="135"/>
      <c r="E64" s="136"/>
      <c r="F64" s="102">
        <f t="shared" si="0"/>
        <v>0</v>
      </c>
      <c r="G64" s="2"/>
      <c r="K64" s="2"/>
    </row>
    <row r="65" spans="1:11" ht="15" x14ac:dyDescent="0.2">
      <c r="A65" s="95">
        <v>10</v>
      </c>
      <c r="B65" s="96" t="s">
        <v>29</v>
      </c>
      <c r="C65" s="134"/>
      <c r="D65" s="135"/>
      <c r="E65" s="136"/>
      <c r="F65" s="102">
        <f t="shared" si="0"/>
        <v>0</v>
      </c>
      <c r="G65" s="2"/>
      <c r="K65" s="2"/>
    </row>
    <row r="66" spans="1:11" ht="16.5" x14ac:dyDescent="0.2">
      <c r="A66" s="97">
        <f>0.1+A65</f>
        <v>10.1</v>
      </c>
      <c r="B66" s="98" t="s">
        <v>89</v>
      </c>
      <c r="C66" s="134">
        <v>600</v>
      </c>
      <c r="D66" s="100" t="s">
        <v>48</v>
      </c>
      <c r="E66" s="136">
        <f>+'[22]ANALISIS DE COSTOS OB'!I470</f>
        <v>1192.75</v>
      </c>
      <c r="F66" s="102">
        <f t="shared" si="0"/>
        <v>715650</v>
      </c>
      <c r="G66" s="2"/>
      <c r="I66" s="2"/>
      <c r="K66" s="2"/>
    </row>
    <row r="67" spans="1:11" x14ac:dyDescent="0.2">
      <c r="A67" s="97">
        <f>0.1+A66</f>
        <v>10.199999999999999</v>
      </c>
      <c r="B67" s="98" t="s">
        <v>67</v>
      </c>
      <c r="C67" s="134">
        <v>60</v>
      </c>
      <c r="D67" s="135" t="s">
        <v>12</v>
      </c>
      <c r="E67" s="136">
        <f>+'[22]ANALISIS DE COSTOS OB'!I484</f>
        <v>1310.1300000000001</v>
      </c>
      <c r="F67" s="102">
        <f t="shared" si="0"/>
        <v>78607.8</v>
      </c>
      <c r="G67" s="2"/>
      <c r="K67" s="2"/>
    </row>
    <row r="68" spans="1:11" x14ac:dyDescent="0.2">
      <c r="A68" s="97"/>
      <c r="B68" s="98"/>
      <c r="C68" s="134"/>
      <c r="D68" s="135"/>
      <c r="E68" s="136"/>
      <c r="F68" s="102">
        <f t="shared" si="0"/>
        <v>0</v>
      </c>
      <c r="G68" s="2"/>
      <c r="K68" s="2"/>
    </row>
    <row r="69" spans="1:11" ht="15" x14ac:dyDescent="0.2">
      <c r="A69" s="95">
        <v>11</v>
      </c>
      <c r="B69" s="96" t="s">
        <v>22</v>
      </c>
      <c r="C69" s="134"/>
      <c r="D69" s="135"/>
      <c r="E69" s="136"/>
      <c r="F69" s="102">
        <f t="shared" si="0"/>
        <v>0</v>
      </c>
      <c r="G69" s="2"/>
      <c r="K69" s="2"/>
    </row>
    <row r="70" spans="1:11" x14ac:dyDescent="0.2">
      <c r="A70" s="97">
        <f>0.1+A69</f>
        <v>11.1</v>
      </c>
      <c r="B70" s="98" t="s">
        <v>68</v>
      </c>
      <c r="C70" s="134">
        <v>33960</v>
      </c>
      <c r="D70" s="135" t="s">
        <v>12</v>
      </c>
      <c r="E70" s="136">
        <f>+'[22]ANALISIS DE COSTOS OB'!I499</f>
        <v>48.26</v>
      </c>
      <c r="F70" s="102">
        <f t="shared" si="0"/>
        <v>1638909.6</v>
      </c>
      <c r="G70" s="2"/>
      <c r="K70" s="2"/>
    </row>
    <row r="71" spans="1:11" ht="16.5" x14ac:dyDescent="0.2">
      <c r="A71" s="97">
        <f>0.1+A70</f>
        <v>11.2</v>
      </c>
      <c r="B71" s="137" t="s">
        <v>83</v>
      </c>
      <c r="C71" s="134">
        <v>11359.25</v>
      </c>
      <c r="D71" s="100" t="s">
        <v>48</v>
      </c>
      <c r="E71" s="136">
        <f>+'[22]ANALISIS DE COSTOS OB'!I511</f>
        <v>50.96</v>
      </c>
      <c r="F71" s="102">
        <f t="shared" si="0"/>
        <v>578867.38</v>
      </c>
      <c r="G71" s="2"/>
      <c r="K71" s="2"/>
    </row>
    <row r="72" spans="1:11" ht="28.5" x14ac:dyDescent="0.2">
      <c r="A72" s="97">
        <f t="shared" ref="A72:A75" si="5">0.1+A71</f>
        <v>11.3</v>
      </c>
      <c r="B72" s="104" t="s">
        <v>81</v>
      </c>
      <c r="C72" s="105">
        <v>763.26</v>
      </c>
      <c r="D72" s="103" t="s">
        <v>47</v>
      </c>
      <c r="E72" s="102">
        <f>+E63</f>
        <v>285.89999999999998</v>
      </c>
      <c r="F72" s="102">
        <f t="shared" si="0"/>
        <v>218216.03</v>
      </c>
      <c r="G72" s="2"/>
      <c r="H72" s="2"/>
      <c r="K72" s="2"/>
    </row>
    <row r="73" spans="1:11" ht="16.5" x14ac:dyDescent="0.2">
      <c r="A73" s="97">
        <f t="shared" si="5"/>
        <v>11.4</v>
      </c>
      <c r="B73" s="138" t="s">
        <v>90</v>
      </c>
      <c r="C73" s="134">
        <v>11359.25</v>
      </c>
      <c r="D73" s="100" t="s">
        <v>48</v>
      </c>
      <c r="E73" s="136">
        <f>+'[22]ANALISIS DE COSTOS OB'!I524</f>
        <v>166.05</v>
      </c>
      <c r="F73" s="102">
        <f t="shared" si="0"/>
        <v>1886203.46</v>
      </c>
      <c r="G73" s="2"/>
      <c r="H73" s="2"/>
      <c r="K73" s="2"/>
    </row>
    <row r="74" spans="1:11" ht="28.5" x14ac:dyDescent="0.2">
      <c r="A74" s="97">
        <f t="shared" si="5"/>
        <v>11.5</v>
      </c>
      <c r="B74" s="138" t="s">
        <v>82</v>
      </c>
      <c r="C74" s="105">
        <v>14199.06</v>
      </c>
      <c r="D74" s="100" t="s">
        <v>48</v>
      </c>
      <c r="E74" s="102">
        <f>+'[22]ANALISIS DE COSTOS OB'!I534</f>
        <v>597.63</v>
      </c>
      <c r="F74" s="102">
        <f t="shared" si="0"/>
        <v>8485784.2300000004</v>
      </c>
      <c r="G74" s="2"/>
      <c r="H74" s="2"/>
      <c r="I74" s="2"/>
      <c r="K74" s="2"/>
    </row>
    <row r="75" spans="1:11" ht="16.5" x14ac:dyDescent="0.2">
      <c r="A75" s="97">
        <f t="shared" si="5"/>
        <v>11.6</v>
      </c>
      <c r="B75" s="139" t="s">
        <v>69</v>
      </c>
      <c r="C75" s="134">
        <f>+C74*0.058*1.28*31</f>
        <v>32678.28</v>
      </c>
      <c r="D75" s="135" t="s">
        <v>49</v>
      </c>
      <c r="E75" s="136">
        <f>+'[22]ANALISIS DE COSTOS OB'!E549</f>
        <v>21</v>
      </c>
      <c r="F75" s="102">
        <f t="shared" si="0"/>
        <v>686243.88</v>
      </c>
      <c r="G75" s="2"/>
      <c r="H75" s="2"/>
      <c r="I75" s="2"/>
      <c r="K75" s="2"/>
    </row>
    <row r="76" spans="1:11" ht="15" x14ac:dyDescent="0.2">
      <c r="A76" s="95"/>
      <c r="B76" s="98"/>
      <c r="C76" s="134"/>
      <c r="D76" s="135"/>
      <c r="E76" s="136"/>
      <c r="F76" s="102">
        <f t="shared" si="0"/>
        <v>0</v>
      </c>
      <c r="G76" s="2"/>
      <c r="H76" s="2"/>
    </row>
    <row r="77" spans="1:11" ht="30" x14ac:dyDescent="0.2">
      <c r="A77" s="95">
        <v>12</v>
      </c>
      <c r="B77" s="140" t="s">
        <v>84</v>
      </c>
      <c r="C77" s="137"/>
      <c r="D77" s="137"/>
      <c r="E77" s="21"/>
      <c r="F77" s="102">
        <f t="shared" si="0"/>
        <v>0</v>
      </c>
      <c r="G77" s="2"/>
    </row>
    <row r="78" spans="1:11" ht="57" x14ac:dyDescent="0.2">
      <c r="A78" s="120">
        <f>0.1+A77</f>
        <v>12.1</v>
      </c>
      <c r="B78" s="141" t="s">
        <v>91</v>
      </c>
      <c r="C78" s="142">
        <v>14085</v>
      </c>
      <c r="D78" s="143" t="s">
        <v>12</v>
      </c>
      <c r="E78" s="144">
        <f>+'[22]ANALISIS DE COSTOS OB'!I554</f>
        <v>62.54</v>
      </c>
      <c r="F78" s="102">
        <f t="shared" si="0"/>
        <v>880875.9</v>
      </c>
      <c r="G78" s="2"/>
    </row>
    <row r="79" spans="1:11" ht="28.5" x14ac:dyDescent="0.2">
      <c r="A79" s="97">
        <f>0.1+A78</f>
        <v>12.2</v>
      </c>
      <c r="B79" s="139" t="s">
        <v>70</v>
      </c>
      <c r="C79" s="105">
        <v>14085</v>
      </c>
      <c r="D79" s="103" t="s">
        <v>12</v>
      </c>
      <c r="E79" s="102">
        <f>+'[22]ANALISIS DE COSTOS OB'!I566</f>
        <v>17.309999999999999</v>
      </c>
      <c r="F79" s="102">
        <f t="shared" si="0"/>
        <v>243811.35</v>
      </c>
      <c r="G79" s="2"/>
    </row>
    <row r="80" spans="1:11" ht="15" x14ac:dyDescent="0.2">
      <c r="A80" s="95"/>
      <c r="B80" s="145"/>
      <c r="C80" s="105"/>
      <c r="D80" s="103"/>
      <c r="E80" s="102"/>
      <c r="F80" s="102">
        <f t="shared" ref="F80:F87" si="6">+E80*C80</f>
        <v>0</v>
      </c>
      <c r="G80" s="2"/>
    </row>
    <row r="81" spans="1:7" ht="15" x14ac:dyDescent="0.2">
      <c r="A81" s="95">
        <v>14</v>
      </c>
      <c r="B81" s="146" t="s">
        <v>16</v>
      </c>
      <c r="C81" s="134">
        <v>14085</v>
      </c>
      <c r="D81" s="135" t="s">
        <v>12</v>
      </c>
      <c r="E81" s="136">
        <f>+'[22]ANALISIS DE COSTOS OB'!I581</f>
        <v>24.84</v>
      </c>
      <c r="F81" s="102">
        <f t="shared" si="6"/>
        <v>349871.4</v>
      </c>
      <c r="G81" s="2"/>
    </row>
    <row r="82" spans="1:7" ht="15" x14ac:dyDescent="0.25">
      <c r="A82" s="147"/>
      <c r="B82" s="148" t="s">
        <v>17</v>
      </c>
      <c r="C82" s="149"/>
      <c r="D82" s="150"/>
      <c r="E82" s="22"/>
      <c r="F82" s="22">
        <f>SUM(F15:F81)</f>
        <v>39900587.539999999</v>
      </c>
      <c r="G82" s="2"/>
    </row>
    <row r="83" spans="1:7" x14ac:dyDescent="0.2">
      <c r="A83" s="151"/>
      <c r="B83" s="93"/>
      <c r="C83" s="91"/>
      <c r="D83" s="92"/>
      <c r="E83" s="18"/>
      <c r="F83" s="102"/>
    </row>
    <row r="84" spans="1:7" ht="15" x14ac:dyDescent="0.25">
      <c r="A84" s="89" t="s">
        <v>18</v>
      </c>
      <c r="B84" s="90" t="s">
        <v>9</v>
      </c>
      <c r="C84" s="91"/>
      <c r="D84" s="92"/>
      <c r="E84" s="18"/>
      <c r="F84" s="102">
        <f t="shared" si="6"/>
        <v>0</v>
      </c>
    </row>
    <row r="85" spans="1:7" ht="57" x14ac:dyDescent="0.2">
      <c r="A85" s="152">
        <v>1</v>
      </c>
      <c r="B85" s="104" t="s">
        <v>92</v>
      </c>
      <c r="C85" s="105">
        <v>4</v>
      </c>
      <c r="D85" s="103" t="s">
        <v>32</v>
      </c>
      <c r="E85" s="102">
        <f>+'[22]ANALISIS DE COSTOS OB'!I596</f>
        <v>34268.65</v>
      </c>
      <c r="F85" s="102">
        <f t="shared" si="6"/>
        <v>137074.6</v>
      </c>
      <c r="G85" s="8"/>
    </row>
    <row r="86" spans="1:7" x14ac:dyDescent="0.2">
      <c r="A86" s="152"/>
      <c r="B86" s="104"/>
      <c r="C86" s="105"/>
      <c r="D86" s="103"/>
      <c r="E86" s="102"/>
      <c r="F86" s="102">
        <f t="shared" si="6"/>
        <v>0</v>
      </c>
      <c r="G86" s="8"/>
    </row>
    <row r="87" spans="1:7" x14ac:dyDescent="0.2">
      <c r="A87" s="153">
        <v>2</v>
      </c>
      <c r="B87" s="154" t="s">
        <v>93</v>
      </c>
      <c r="C87" s="99">
        <v>10</v>
      </c>
      <c r="D87" s="100" t="s">
        <v>85</v>
      </c>
      <c r="E87" s="101">
        <f>+'[22]ANALISIS DE COSTOS OB'!E616</f>
        <v>24479.17</v>
      </c>
      <c r="F87" s="102">
        <f t="shared" si="6"/>
        <v>244791.7</v>
      </c>
      <c r="G87" s="2"/>
    </row>
    <row r="88" spans="1:7" ht="15" x14ac:dyDescent="0.25">
      <c r="A88" s="147"/>
      <c r="B88" s="148" t="s">
        <v>19</v>
      </c>
      <c r="C88" s="149"/>
      <c r="D88" s="150"/>
      <c r="E88" s="22"/>
      <c r="F88" s="23">
        <f>SUM(F84:F87)</f>
        <v>381866.3</v>
      </c>
      <c r="G88" s="2"/>
    </row>
    <row r="89" spans="1:7" x14ac:dyDescent="0.2">
      <c r="A89" s="151"/>
      <c r="B89" s="155"/>
      <c r="C89" s="91"/>
      <c r="D89" s="92"/>
      <c r="E89" s="18"/>
      <c r="F89" s="18"/>
    </row>
    <row r="90" spans="1:7" ht="15" x14ac:dyDescent="0.25">
      <c r="A90" s="147"/>
      <c r="B90" s="156" t="s">
        <v>11</v>
      </c>
      <c r="C90" s="149"/>
      <c r="D90" s="150"/>
      <c r="E90" s="22"/>
      <c r="F90" s="23">
        <f>+F88+F82</f>
        <v>40282453.840000004</v>
      </c>
      <c r="G90" s="2"/>
    </row>
    <row r="91" spans="1:7" ht="15" x14ac:dyDescent="0.25">
      <c r="A91" s="147"/>
      <c r="B91" s="156" t="s">
        <v>11</v>
      </c>
      <c r="C91" s="149"/>
      <c r="D91" s="150"/>
      <c r="E91" s="22"/>
      <c r="F91" s="23">
        <f>+F90</f>
        <v>40282453.840000004</v>
      </c>
    </row>
    <row r="92" spans="1:7" ht="15" x14ac:dyDescent="0.25">
      <c r="A92" s="153"/>
      <c r="B92" s="157"/>
      <c r="C92" s="99"/>
      <c r="D92" s="100"/>
      <c r="E92" s="101"/>
      <c r="F92" s="158"/>
    </row>
    <row r="93" spans="1:7" ht="15" x14ac:dyDescent="0.25">
      <c r="A93" s="159"/>
      <c r="B93" s="160" t="s">
        <v>71</v>
      </c>
      <c r="C93" s="161">
        <v>0.03</v>
      </c>
      <c r="D93" s="159"/>
      <c r="E93" s="24"/>
      <c r="F93" s="18">
        <f>+$F$91*C93</f>
        <v>1208473.6200000001</v>
      </c>
    </row>
    <row r="94" spans="1:7" ht="15" x14ac:dyDescent="0.25">
      <c r="A94" s="159"/>
      <c r="B94" s="160" t="s">
        <v>72</v>
      </c>
      <c r="C94" s="161">
        <v>0.1</v>
      </c>
      <c r="D94" s="159"/>
      <c r="E94" s="24"/>
      <c r="F94" s="18">
        <f t="shared" ref="F94:F103" si="7">+$F$91*C94</f>
        <v>4028245.38</v>
      </c>
    </row>
    <row r="95" spans="1:7" ht="15" x14ac:dyDescent="0.25">
      <c r="A95" s="159"/>
      <c r="B95" s="160" t="s">
        <v>73</v>
      </c>
      <c r="C95" s="161">
        <v>0.04</v>
      </c>
      <c r="D95" s="159"/>
      <c r="E95" s="24"/>
      <c r="F95" s="18">
        <f t="shared" si="7"/>
        <v>1611298.15</v>
      </c>
    </row>
    <row r="96" spans="1:7" ht="15" x14ac:dyDescent="0.25">
      <c r="A96" s="159"/>
      <c r="B96" s="160" t="s">
        <v>74</v>
      </c>
      <c r="C96" s="161">
        <v>0.05</v>
      </c>
      <c r="D96" s="159"/>
      <c r="E96" s="24"/>
      <c r="F96" s="18">
        <f t="shared" si="7"/>
        <v>2014122.69</v>
      </c>
    </row>
    <row r="97" spans="1:12" ht="15" x14ac:dyDescent="0.25">
      <c r="A97" s="159"/>
      <c r="B97" s="160" t="s">
        <v>75</v>
      </c>
      <c r="C97" s="161">
        <v>4.4999999999999998E-2</v>
      </c>
      <c r="D97" s="159"/>
      <c r="E97" s="24"/>
      <c r="F97" s="18">
        <f t="shared" si="7"/>
        <v>1812710.42</v>
      </c>
    </row>
    <row r="98" spans="1:12" ht="15" x14ac:dyDescent="0.25">
      <c r="A98" s="159"/>
      <c r="B98" s="160" t="s">
        <v>76</v>
      </c>
      <c r="C98" s="161">
        <v>0.01</v>
      </c>
      <c r="D98" s="159"/>
      <c r="E98" s="24"/>
      <c r="F98" s="18">
        <f t="shared" si="7"/>
        <v>402824.54</v>
      </c>
    </row>
    <row r="99" spans="1:12" ht="15" x14ac:dyDescent="0.25">
      <c r="A99" s="159"/>
      <c r="B99" s="162" t="s">
        <v>77</v>
      </c>
      <c r="C99" s="161">
        <v>0.18</v>
      </c>
      <c r="D99" s="159"/>
      <c r="E99" s="24"/>
      <c r="F99" s="18">
        <f>+$F$94*C99</f>
        <v>725084.17</v>
      </c>
    </row>
    <row r="100" spans="1:12" ht="15" x14ac:dyDescent="0.25">
      <c r="A100" s="159"/>
      <c r="B100" s="163" t="s">
        <v>14</v>
      </c>
      <c r="C100" s="161">
        <v>1E-3</v>
      </c>
      <c r="D100" s="159"/>
      <c r="E100" s="24"/>
      <c r="F100" s="18">
        <f t="shared" si="7"/>
        <v>40282.449999999997</v>
      </c>
    </row>
    <row r="101" spans="1:12" ht="15" x14ac:dyDescent="0.25">
      <c r="A101" s="159"/>
      <c r="B101" s="160" t="s">
        <v>80</v>
      </c>
      <c r="C101" s="161">
        <v>0.05</v>
      </c>
      <c r="D101" s="159"/>
      <c r="E101" s="24"/>
      <c r="F101" s="18">
        <f t="shared" si="7"/>
        <v>2014122.69</v>
      </c>
      <c r="H101" s="9"/>
    </row>
    <row r="102" spans="1:12" ht="28.5" x14ac:dyDescent="0.25">
      <c r="A102" s="159"/>
      <c r="B102" s="164" t="s">
        <v>79</v>
      </c>
      <c r="C102" s="165">
        <v>0.03</v>
      </c>
      <c r="D102" s="166"/>
      <c r="E102" s="25"/>
      <c r="F102" s="18">
        <f t="shared" si="7"/>
        <v>1208473.6200000001</v>
      </c>
      <c r="H102" s="9"/>
      <c r="L102" s="167"/>
    </row>
    <row r="103" spans="1:12" ht="15" x14ac:dyDescent="0.25">
      <c r="A103" s="159"/>
      <c r="B103" s="160" t="s">
        <v>78</v>
      </c>
      <c r="C103" s="161">
        <v>0.1</v>
      </c>
      <c r="D103" s="168"/>
      <c r="E103" s="26"/>
      <c r="F103" s="18">
        <f t="shared" si="7"/>
        <v>4028245.38</v>
      </c>
      <c r="H103" s="9"/>
      <c r="I103" s="2"/>
      <c r="J103" s="2"/>
    </row>
    <row r="104" spans="1:12" ht="15" x14ac:dyDescent="0.25">
      <c r="A104" s="137"/>
      <c r="B104" s="169" t="s">
        <v>5</v>
      </c>
      <c r="C104" s="99"/>
      <c r="D104" s="100"/>
      <c r="E104" s="101"/>
      <c r="F104" s="158">
        <f>SUM(F93:F103)</f>
        <v>19093883.109999999</v>
      </c>
      <c r="H104" s="9"/>
      <c r="I104" s="9"/>
    </row>
    <row r="105" spans="1:12" ht="15" x14ac:dyDescent="0.25">
      <c r="A105" s="170"/>
      <c r="B105" s="89"/>
      <c r="C105" s="91"/>
      <c r="D105" s="92"/>
      <c r="E105" s="18"/>
      <c r="F105" s="19"/>
    </row>
    <row r="106" spans="1:12" ht="15" x14ac:dyDescent="0.25">
      <c r="A106" s="171"/>
      <c r="B106" s="172" t="s">
        <v>6</v>
      </c>
      <c r="C106" s="173"/>
      <c r="D106" s="174"/>
      <c r="E106" s="27"/>
      <c r="F106" s="28">
        <f>+F104+F91</f>
        <v>59376336.950000003</v>
      </c>
      <c r="H106" s="2"/>
    </row>
    <row r="107" spans="1:12" ht="15" x14ac:dyDescent="0.25">
      <c r="A107" s="175"/>
      <c r="B107" s="176" t="s">
        <v>7</v>
      </c>
      <c r="C107" s="177"/>
      <c r="D107" s="178"/>
      <c r="E107" s="29"/>
      <c r="F107" s="30">
        <f>+F106</f>
        <v>59376336.950000003</v>
      </c>
    </row>
    <row r="108" spans="1:12" ht="15" x14ac:dyDescent="0.25">
      <c r="A108" s="12"/>
      <c r="B108" s="179"/>
      <c r="C108" s="180"/>
      <c r="D108" s="181"/>
      <c r="E108" s="10"/>
      <c r="F108" s="182"/>
    </row>
    <row r="109" spans="1:12" ht="15" x14ac:dyDescent="0.25">
      <c r="A109" s="12"/>
      <c r="B109" s="179"/>
      <c r="C109" s="180"/>
      <c r="D109" s="181"/>
      <c r="E109" s="10"/>
      <c r="F109" s="182"/>
    </row>
    <row r="110" spans="1:12" x14ac:dyDescent="0.2">
      <c r="A110" s="12"/>
      <c r="B110" s="12"/>
      <c r="C110" s="354"/>
      <c r="D110" s="354"/>
      <c r="E110" s="354"/>
      <c r="F110" s="354"/>
    </row>
    <row r="111" spans="1:12" x14ac:dyDescent="0.2">
      <c r="A111" s="12"/>
      <c r="B111" s="12"/>
      <c r="C111" s="183"/>
      <c r="D111" s="183"/>
      <c r="E111" s="183"/>
      <c r="F111" s="183"/>
    </row>
    <row r="112" spans="1:12" x14ac:dyDescent="0.2">
      <c r="A112" s="12"/>
      <c r="B112" s="184"/>
      <c r="C112" s="12"/>
      <c r="D112" s="12"/>
      <c r="E112" s="11"/>
      <c r="F112" s="183"/>
    </row>
    <row r="113" spans="1:6" x14ac:dyDescent="0.2">
      <c r="A113" s="184"/>
      <c r="B113" s="12"/>
      <c r="C113" s="354"/>
      <c r="D113" s="354"/>
      <c r="E113" s="354"/>
      <c r="F113" s="354"/>
    </row>
    <row r="114" spans="1:6" x14ac:dyDescent="0.2">
      <c r="A114" s="12"/>
      <c r="B114" s="12"/>
      <c r="C114" s="355"/>
      <c r="D114" s="355"/>
      <c r="E114" s="355"/>
      <c r="F114" s="355"/>
    </row>
    <row r="115" spans="1:6" x14ac:dyDescent="0.2">
      <c r="A115" s="12"/>
      <c r="B115" s="12"/>
      <c r="C115" s="12"/>
      <c r="D115" s="12"/>
      <c r="E115" s="10"/>
      <c r="F115" s="180"/>
    </row>
    <row r="116" spans="1:6" x14ac:dyDescent="0.2">
      <c r="A116" s="12"/>
      <c r="B116" s="12"/>
      <c r="C116" s="12"/>
      <c r="D116" s="12"/>
      <c r="E116" s="10"/>
      <c r="F116" s="180"/>
    </row>
    <row r="117" spans="1:6" x14ac:dyDescent="0.2">
      <c r="A117" s="12"/>
      <c r="B117" s="12"/>
      <c r="C117" s="12"/>
      <c r="D117" s="12"/>
      <c r="E117" s="10"/>
      <c r="F117" s="180"/>
    </row>
    <row r="118" spans="1:6" x14ac:dyDescent="0.2">
      <c r="A118" s="12"/>
      <c r="B118" s="12"/>
      <c r="C118" s="12"/>
      <c r="D118" s="12"/>
      <c r="E118" s="10"/>
      <c r="F118" s="180"/>
    </row>
    <row r="119" spans="1:6" x14ac:dyDescent="0.2">
      <c r="A119" s="12"/>
      <c r="B119" s="12"/>
      <c r="C119" s="12"/>
      <c r="D119" s="12"/>
      <c r="E119" s="10"/>
      <c r="F119" s="12"/>
    </row>
    <row r="120" spans="1:6" x14ac:dyDescent="0.2">
      <c r="A120" s="12"/>
      <c r="B120" s="12"/>
      <c r="C120" s="12"/>
      <c r="D120" s="12"/>
      <c r="E120" s="10"/>
      <c r="F120" s="12"/>
    </row>
    <row r="121" spans="1:6" x14ac:dyDescent="0.2">
      <c r="A121" s="12"/>
      <c r="B121" s="12"/>
      <c r="C121" s="12"/>
      <c r="D121" s="12"/>
      <c r="E121" s="10"/>
      <c r="F121" s="12"/>
    </row>
    <row r="122" spans="1:6" x14ac:dyDescent="0.2">
      <c r="A122" s="12"/>
      <c r="B122" s="184"/>
      <c r="C122" s="12"/>
      <c r="D122" s="12"/>
      <c r="E122" s="11"/>
      <c r="F122" s="183"/>
    </row>
    <row r="123" spans="1:6" x14ac:dyDescent="0.2">
      <c r="A123" s="185"/>
      <c r="B123" s="12"/>
      <c r="C123" s="354"/>
      <c r="D123" s="354"/>
      <c r="E123" s="354"/>
      <c r="F123" s="354"/>
    </row>
    <row r="124" spans="1:6" x14ac:dyDescent="0.2">
      <c r="A124" s="12"/>
      <c r="B124" s="12"/>
      <c r="C124" s="354"/>
      <c r="D124" s="354"/>
      <c r="E124" s="354"/>
      <c r="F124" s="354"/>
    </row>
    <row r="125" spans="1:6" ht="15" x14ac:dyDescent="0.25">
      <c r="A125" s="12"/>
      <c r="B125" s="179"/>
      <c r="C125" s="180"/>
      <c r="D125" s="181"/>
      <c r="E125" s="10"/>
      <c r="F125" s="182"/>
    </row>
    <row r="126" spans="1:6" x14ac:dyDescent="0.2">
      <c r="A126" s="12"/>
      <c r="B126" s="12"/>
      <c r="C126" s="12"/>
      <c r="D126" s="12"/>
      <c r="E126" s="12"/>
      <c r="F126" s="12"/>
    </row>
    <row r="127" spans="1:6" x14ac:dyDescent="0.2">
      <c r="A127" s="12"/>
      <c r="B127" s="12"/>
      <c r="C127" s="12"/>
      <c r="D127" s="12"/>
      <c r="E127" s="12"/>
      <c r="F127" s="12"/>
    </row>
    <row r="128" spans="1:6" x14ac:dyDescent="0.2">
      <c r="A128" s="12"/>
      <c r="B128" s="12"/>
      <c r="C128" s="12"/>
      <c r="D128" s="12"/>
      <c r="E128" s="12"/>
      <c r="F128" s="12"/>
    </row>
    <row r="129" spans="1:6" x14ac:dyDescent="0.2">
      <c r="A129" s="12"/>
      <c r="B129" s="12"/>
      <c r="C129" s="12"/>
      <c r="D129" s="12"/>
      <c r="E129" s="12"/>
      <c r="F129" s="12"/>
    </row>
    <row r="130" spans="1:6" x14ac:dyDescent="0.2">
      <c r="A130" s="12"/>
      <c r="B130" s="12"/>
      <c r="C130" s="12"/>
      <c r="D130" s="12"/>
      <c r="E130" s="12"/>
      <c r="F130" s="12"/>
    </row>
    <row r="131" spans="1:6" x14ac:dyDescent="0.2">
      <c r="A131" s="12"/>
      <c r="B131" s="12"/>
      <c r="C131" s="12"/>
      <c r="D131" s="12"/>
      <c r="E131" s="12"/>
      <c r="F131" s="12"/>
    </row>
    <row r="132" spans="1:6" x14ac:dyDescent="0.2">
      <c r="A132" s="12"/>
      <c r="B132" s="12"/>
      <c r="C132" s="12"/>
      <c r="D132" s="12"/>
      <c r="E132" s="12"/>
      <c r="F132" s="12"/>
    </row>
    <row r="133" spans="1:6" x14ac:dyDescent="0.2">
      <c r="A133" s="12"/>
      <c r="B133" s="12"/>
      <c r="C133" s="12"/>
      <c r="D133" s="12"/>
      <c r="E133" s="12"/>
      <c r="F133" s="12"/>
    </row>
    <row r="134" spans="1:6" x14ac:dyDescent="0.2">
      <c r="A134" s="12"/>
      <c r="B134" s="12"/>
      <c r="C134" s="12"/>
      <c r="D134" s="12"/>
      <c r="E134" s="12"/>
      <c r="F134" s="12"/>
    </row>
    <row r="135" spans="1:6" x14ac:dyDescent="0.2">
      <c r="A135" s="12"/>
      <c r="B135" s="12"/>
      <c r="C135" s="12"/>
      <c r="D135" s="12"/>
      <c r="E135" s="12"/>
      <c r="F135" s="12"/>
    </row>
    <row r="136" spans="1:6" x14ac:dyDescent="0.2">
      <c r="A136" s="12"/>
      <c r="B136" s="12"/>
      <c r="C136" s="12"/>
      <c r="D136" s="12"/>
      <c r="E136" s="12"/>
      <c r="F136" s="12"/>
    </row>
    <row r="137" spans="1:6" x14ac:dyDescent="0.2">
      <c r="A137" s="12"/>
      <c r="B137" s="12"/>
      <c r="C137" s="12"/>
      <c r="D137" s="12"/>
      <c r="E137" s="12"/>
      <c r="F137" s="12"/>
    </row>
    <row r="138" spans="1:6" x14ac:dyDescent="0.2">
      <c r="A138" s="12"/>
      <c r="B138" s="12"/>
      <c r="C138" s="12"/>
      <c r="D138" s="12"/>
      <c r="E138" s="12"/>
      <c r="F138" s="12"/>
    </row>
    <row r="139" spans="1:6" x14ac:dyDescent="0.2">
      <c r="A139" s="12"/>
      <c r="B139" s="12"/>
      <c r="C139" s="12"/>
      <c r="D139" s="12"/>
      <c r="E139" s="12"/>
      <c r="F139" s="12"/>
    </row>
    <row r="140" spans="1:6" x14ac:dyDescent="0.2">
      <c r="A140" s="12"/>
      <c r="B140" s="12"/>
      <c r="C140" s="12"/>
      <c r="D140" s="12"/>
      <c r="E140" s="12"/>
      <c r="F140" s="12"/>
    </row>
    <row r="141" spans="1:6" x14ac:dyDescent="0.2">
      <c r="A141" s="12"/>
      <c r="B141" s="12"/>
      <c r="C141" s="12"/>
      <c r="D141" s="12"/>
      <c r="E141" s="12"/>
      <c r="F141" s="12"/>
    </row>
    <row r="142" spans="1:6" x14ac:dyDescent="0.2">
      <c r="A142" s="12"/>
      <c r="B142" s="12"/>
      <c r="C142" s="12"/>
      <c r="D142" s="12"/>
      <c r="E142" s="12"/>
      <c r="F142" s="12"/>
    </row>
    <row r="143" spans="1:6" x14ac:dyDescent="0.2">
      <c r="A143" s="12"/>
      <c r="B143" s="12"/>
      <c r="C143" s="12"/>
      <c r="D143" s="12"/>
      <c r="E143" s="12"/>
      <c r="F143" s="12"/>
    </row>
    <row r="144" spans="1:6" x14ac:dyDescent="0.2">
      <c r="A144" s="12"/>
      <c r="B144" s="12"/>
      <c r="C144" s="12"/>
      <c r="D144" s="12"/>
      <c r="E144" s="12"/>
      <c r="F144" s="12"/>
    </row>
    <row r="145" spans="1:6" x14ac:dyDescent="0.2">
      <c r="A145" s="12"/>
      <c r="B145" s="12"/>
      <c r="C145" s="12"/>
      <c r="D145" s="12"/>
      <c r="E145" s="12"/>
      <c r="F145" s="12"/>
    </row>
    <row r="146" spans="1:6" x14ac:dyDescent="0.2">
      <c r="A146" s="12"/>
      <c r="B146" s="12"/>
      <c r="C146" s="12"/>
      <c r="D146" s="12"/>
      <c r="E146" s="12"/>
      <c r="F146" s="12"/>
    </row>
    <row r="147" spans="1:6" x14ac:dyDescent="0.2">
      <c r="A147" s="12"/>
      <c r="B147" s="12"/>
      <c r="C147" s="12"/>
      <c r="D147" s="12"/>
      <c r="E147" s="12"/>
      <c r="F147" s="12"/>
    </row>
    <row r="148" spans="1:6" x14ac:dyDescent="0.2">
      <c r="A148" s="12"/>
      <c r="B148" s="12"/>
      <c r="C148" s="12"/>
      <c r="D148" s="12"/>
      <c r="E148" s="12"/>
      <c r="F148" s="12"/>
    </row>
    <row r="149" spans="1:6" x14ac:dyDescent="0.2">
      <c r="A149" s="12"/>
      <c r="B149" s="12"/>
      <c r="C149" s="12"/>
      <c r="D149" s="12"/>
      <c r="E149" s="12"/>
      <c r="F149" s="12"/>
    </row>
    <row r="150" spans="1:6" x14ac:dyDescent="0.2">
      <c r="A150" s="12"/>
      <c r="B150" s="12"/>
      <c r="C150" s="12"/>
      <c r="D150" s="12"/>
      <c r="E150" s="12"/>
      <c r="F150" s="12"/>
    </row>
  </sheetData>
  <mergeCells count="10">
    <mergeCell ref="C113:F113"/>
    <mergeCell ref="C114:F114"/>
    <mergeCell ref="C123:F123"/>
    <mergeCell ref="C124:F124"/>
    <mergeCell ref="A1:F1"/>
    <mergeCell ref="A2:F2"/>
    <mergeCell ref="A3:F3"/>
    <mergeCell ref="A4:F4"/>
    <mergeCell ref="A9:F9"/>
    <mergeCell ref="C110:F1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55"/>
  <sheetViews>
    <sheetView workbookViewId="0"/>
  </sheetViews>
  <sheetFormatPr baseColWidth="10" defaultColWidth="11.42578125" defaultRowHeight="14.25" outlineLevelRow="1" x14ac:dyDescent="0.2"/>
  <cols>
    <col min="1" max="1" width="8.28515625" style="1" customWidth="1"/>
    <col min="2" max="2" width="40" style="1" customWidth="1"/>
    <col min="3" max="3" width="12.5703125" style="1" customWidth="1"/>
    <col min="4" max="4" width="11.5703125" style="1" customWidth="1"/>
    <col min="5" max="5" width="16.140625" style="1" customWidth="1"/>
    <col min="6" max="6" width="13" style="1" bestFit="1" customWidth="1"/>
    <col min="7" max="7" width="12.85546875" style="1" bestFit="1" customWidth="1"/>
    <col min="8" max="8" width="11.5703125" style="1" bestFit="1" customWidth="1"/>
    <col min="9" max="9" width="14.140625" style="1" bestFit="1" customWidth="1"/>
    <col min="10" max="10" width="11.5703125" style="1" bestFit="1" customWidth="1"/>
    <col min="11" max="16384" width="11.42578125" style="1"/>
  </cols>
  <sheetData>
    <row r="1" spans="1:11" x14ac:dyDescent="0.2">
      <c r="A1" s="15" t="s">
        <v>21</v>
      </c>
      <c r="B1" s="13" t="s">
        <v>23</v>
      </c>
      <c r="C1" s="13"/>
      <c r="D1" s="13"/>
      <c r="H1" s="2"/>
    </row>
    <row r="2" spans="1:11" x14ac:dyDescent="0.2">
      <c r="A2" s="13" t="s">
        <v>30</v>
      </c>
      <c r="B2" s="13"/>
      <c r="C2" s="13"/>
      <c r="D2" s="13"/>
      <c r="I2" s="2"/>
    </row>
    <row r="3" spans="1:11" ht="15" x14ac:dyDescent="0.25">
      <c r="A3" s="358"/>
      <c r="B3" s="358"/>
      <c r="C3" s="358"/>
      <c r="D3" s="358"/>
    </row>
    <row r="4" spans="1:11" ht="15" x14ac:dyDescent="0.25">
      <c r="A4" s="210" t="s">
        <v>0</v>
      </c>
      <c r="B4" s="210" t="s">
        <v>1</v>
      </c>
      <c r="C4" s="210" t="s">
        <v>8</v>
      </c>
      <c r="D4" s="210" t="s">
        <v>2</v>
      </c>
    </row>
    <row r="5" spans="1:11" ht="15" x14ac:dyDescent="0.25">
      <c r="A5" s="210"/>
      <c r="B5" s="210"/>
      <c r="C5" s="210"/>
      <c r="D5" s="210"/>
    </row>
    <row r="6" spans="1:11" ht="15" x14ac:dyDescent="0.25">
      <c r="A6" s="211" t="s">
        <v>10</v>
      </c>
      <c r="B6" s="212" t="s">
        <v>24</v>
      </c>
      <c r="C6" s="180"/>
      <c r="D6" s="181"/>
    </row>
    <row r="7" spans="1:11" x14ac:dyDescent="0.2">
      <c r="A7" s="208"/>
      <c r="B7" s="213"/>
      <c r="C7" s="180"/>
      <c r="D7" s="181"/>
    </row>
    <row r="8" spans="1:11" ht="15" x14ac:dyDescent="0.2">
      <c r="A8" s="214">
        <v>1</v>
      </c>
      <c r="B8" s="215" t="s">
        <v>86</v>
      </c>
      <c r="C8" s="180"/>
      <c r="D8" s="181"/>
    </row>
    <row r="9" spans="1:11" x14ac:dyDescent="0.2">
      <c r="A9" s="216">
        <v>1.1000000000000001</v>
      </c>
      <c r="B9" s="217" t="s">
        <v>51</v>
      </c>
      <c r="C9" s="9">
        <v>14085</v>
      </c>
      <c r="D9" s="218" t="s">
        <v>12</v>
      </c>
      <c r="E9" s="2"/>
      <c r="G9" s="3"/>
      <c r="I9" s="2"/>
    </row>
    <row r="10" spans="1:11" s="219" customFormat="1" ht="12.75" x14ac:dyDescent="0.2">
      <c r="B10" s="220" t="s">
        <v>94</v>
      </c>
      <c r="C10" s="220"/>
    </row>
    <row r="11" spans="1:11" s="219" customFormat="1" ht="12.75" x14ac:dyDescent="0.2">
      <c r="B11" s="220"/>
      <c r="C11" s="220"/>
      <c r="D11" s="32" t="s">
        <v>2</v>
      </c>
      <c r="E11" s="32" t="s">
        <v>95</v>
      </c>
      <c r="F11" s="32" t="s">
        <v>96</v>
      </c>
      <c r="G11" s="32" t="s">
        <v>97</v>
      </c>
    </row>
    <row r="12" spans="1:11" s="219" customFormat="1" ht="12.75" x14ac:dyDescent="0.2">
      <c r="B12" s="32" t="s">
        <v>98</v>
      </c>
      <c r="C12" s="32"/>
      <c r="D12" s="32" t="s">
        <v>99</v>
      </c>
      <c r="E12" s="32">
        <v>1</v>
      </c>
      <c r="F12" s="32">
        <v>2578.0100000000002</v>
      </c>
      <c r="G12" s="32">
        <f>+E12*F12</f>
        <v>2578.0100000000002</v>
      </c>
      <c r="H12" s="32"/>
      <c r="I12" s="32"/>
      <c r="J12" s="32"/>
    </row>
    <row r="13" spans="1:11" s="219" customFormat="1" ht="12.75" x14ac:dyDescent="0.2">
      <c r="B13" s="32" t="s">
        <v>100</v>
      </c>
      <c r="C13" s="32"/>
      <c r="D13" s="32" t="s">
        <v>99</v>
      </c>
      <c r="E13" s="32">
        <v>2</v>
      </c>
      <c r="F13" s="32">
        <v>1050</v>
      </c>
      <c r="G13" s="32">
        <f t="shared" ref="G13:G14" si="0">+E13*F13</f>
        <v>2100</v>
      </c>
      <c r="H13" s="32"/>
      <c r="I13" s="32"/>
      <c r="J13" s="32"/>
    </row>
    <row r="14" spans="1:11" s="219" customFormat="1" ht="12.75" x14ac:dyDescent="0.2">
      <c r="B14" s="32" t="s">
        <v>101</v>
      </c>
      <c r="C14" s="32"/>
      <c r="D14" s="32" t="s">
        <v>99</v>
      </c>
      <c r="E14" s="32">
        <v>1</v>
      </c>
      <c r="F14" s="32">
        <v>859.34</v>
      </c>
      <c r="G14" s="32">
        <f t="shared" si="0"/>
        <v>859.34</v>
      </c>
      <c r="H14" s="32"/>
      <c r="I14" s="32"/>
      <c r="J14" s="32"/>
    </row>
    <row r="15" spans="1:11" s="219" customFormat="1" ht="12.75" x14ac:dyDescent="0.2">
      <c r="B15" s="32"/>
      <c r="C15" s="32"/>
      <c r="D15" s="32"/>
      <c r="E15" s="32" t="s">
        <v>102</v>
      </c>
      <c r="F15" s="32"/>
      <c r="G15" s="32">
        <f>SUM(G12:G14)</f>
        <v>5537.35</v>
      </c>
      <c r="H15" s="32"/>
      <c r="I15" s="32"/>
      <c r="J15" s="32"/>
      <c r="K15" s="221"/>
    </row>
    <row r="16" spans="1:11" s="219" customFormat="1" ht="12.75" x14ac:dyDescent="0.2">
      <c r="B16" s="32"/>
      <c r="C16" s="32"/>
      <c r="D16" s="32"/>
      <c r="E16" s="32"/>
      <c r="F16" s="32"/>
      <c r="G16" s="32"/>
      <c r="H16" s="32"/>
      <c r="I16" s="32"/>
      <c r="J16" s="32"/>
    </row>
    <row r="17" spans="2:11" s="219" customFormat="1" ht="12.75" x14ac:dyDescent="0.2">
      <c r="B17" s="32"/>
      <c r="C17" s="32"/>
      <c r="D17" s="32"/>
      <c r="E17" s="32"/>
      <c r="F17" s="32"/>
      <c r="G17" s="32"/>
      <c r="H17" s="32"/>
      <c r="I17" s="32"/>
      <c r="J17" s="32"/>
    </row>
    <row r="18" spans="2:11" s="219" customFormat="1" ht="12.75" x14ac:dyDescent="0.2">
      <c r="B18" s="32" t="s">
        <v>103</v>
      </c>
      <c r="C18" s="32"/>
      <c r="D18" s="32" t="s">
        <v>104</v>
      </c>
      <c r="E18" s="32">
        <v>1</v>
      </c>
      <c r="F18" s="32">
        <v>3042.35</v>
      </c>
      <c r="G18" s="32">
        <f t="shared" ref="G18:G21" si="1">+E18*F18</f>
        <v>3042.35</v>
      </c>
      <c r="H18" s="32"/>
      <c r="I18" s="32"/>
      <c r="J18" s="32"/>
      <c r="K18" s="33"/>
    </row>
    <row r="19" spans="2:11" s="219" customFormat="1" ht="12.75" x14ac:dyDescent="0.2">
      <c r="B19" s="32" t="s">
        <v>105</v>
      </c>
      <c r="C19" s="32"/>
      <c r="D19" s="32" t="s">
        <v>104</v>
      </c>
      <c r="E19" s="32">
        <v>1</v>
      </c>
      <c r="F19" s="32">
        <v>1200</v>
      </c>
      <c r="G19" s="32">
        <f t="shared" si="1"/>
        <v>1200</v>
      </c>
      <c r="H19" s="32"/>
      <c r="I19" s="32"/>
      <c r="J19" s="32"/>
    </row>
    <row r="20" spans="2:11" s="219" customFormat="1" ht="12.75" x14ac:dyDescent="0.2">
      <c r="B20" s="32" t="s">
        <v>106</v>
      </c>
      <c r="C20" s="32"/>
      <c r="D20" s="32" t="s">
        <v>104</v>
      </c>
      <c r="E20" s="32">
        <v>1</v>
      </c>
      <c r="F20" s="32">
        <v>859.34</v>
      </c>
      <c r="G20" s="32">
        <f t="shared" si="1"/>
        <v>859.34</v>
      </c>
      <c r="H20" s="32"/>
      <c r="I20" s="32"/>
      <c r="J20" s="32"/>
    </row>
    <row r="21" spans="2:11" s="219" customFormat="1" ht="12.75" x14ac:dyDescent="0.2">
      <c r="B21" s="32" t="s">
        <v>107</v>
      </c>
      <c r="C21" s="32"/>
      <c r="D21" s="32" t="s">
        <v>104</v>
      </c>
      <c r="E21" s="32">
        <v>5</v>
      </c>
      <c r="F21" s="32">
        <v>1650</v>
      </c>
      <c r="G21" s="32">
        <f t="shared" si="1"/>
        <v>8250</v>
      </c>
      <c r="H21" s="32"/>
      <c r="I21" s="32"/>
      <c r="J21" s="32"/>
    </row>
    <row r="22" spans="2:11" s="219" customFormat="1" ht="12.75" x14ac:dyDescent="0.2">
      <c r="B22" s="32"/>
      <c r="C22" s="32"/>
      <c r="D22" s="32"/>
      <c r="E22" s="32" t="s">
        <v>102</v>
      </c>
      <c r="F22" s="32"/>
      <c r="G22" s="32">
        <f>SUM(G18:G21)</f>
        <v>13351.69</v>
      </c>
      <c r="H22" s="32"/>
      <c r="I22" s="32"/>
      <c r="J22" s="32"/>
    </row>
    <row r="23" spans="2:11" s="219" customFormat="1" ht="12.75" x14ac:dyDescent="0.2">
      <c r="B23" s="32"/>
      <c r="C23" s="32"/>
      <c r="D23" s="32"/>
      <c r="E23" s="32"/>
      <c r="F23" s="32"/>
      <c r="G23" s="32"/>
      <c r="H23" s="32"/>
      <c r="I23" s="32"/>
      <c r="J23" s="32"/>
    </row>
    <row r="24" spans="2:11" s="219" customFormat="1" ht="12.75" x14ac:dyDescent="0.2">
      <c r="B24" s="32"/>
      <c r="C24" s="32" t="s">
        <v>108</v>
      </c>
      <c r="D24" s="32"/>
      <c r="E24" s="32"/>
      <c r="F24" s="32"/>
      <c r="G24" s="32">
        <f>G15+G22</f>
        <v>18889.04</v>
      </c>
      <c r="H24" s="32"/>
      <c r="I24" s="32"/>
      <c r="J24" s="32"/>
    </row>
    <row r="25" spans="2:11" s="219" customFormat="1" ht="12.75" x14ac:dyDescent="0.2">
      <c r="B25" s="32"/>
      <c r="C25" s="32"/>
      <c r="D25" s="32"/>
      <c r="E25" s="32"/>
      <c r="F25" s="32"/>
      <c r="G25" s="32"/>
      <c r="H25" s="32"/>
      <c r="I25" s="32"/>
      <c r="J25" s="32"/>
    </row>
    <row r="26" spans="2:11" s="219" customFormat="1" ht="12.75" x14ac:dyDescent="0.2">
      <c r="B26" s="32"/>
      <c r="C26" s="32" t="s">
        <v>109</v>
      </c>
      <c r="D26" s="32"/>
      <c r="E26" s="32"/>
      <c r="F26" s="32">
        <v>1400</v>
      </c>
      <c r="G26" s="32" t="s">
        <v>110</v>
      </c>
      <c r="H26" s="32"/>
      <c r="I26" s="32"/>
      <c r="J26" s="32"/>
    </row>
    <row r="27" spans="2:11" s="219" customFormat="1" ht="12.75" x14ac:dyDescent="0.2">
      <c r="B27" s="32"/>
      <c r="C27" s="32"/>
      <c r="D27" s="32"/>
      <c r="E27" s="32"/>
      <c r="F27" s="32"/>
      <c r="G27" s="32"/>
      <c r="H27" s="32"/>
      <c r="I27" s="32"/>
      <c r="J27" s="32"/>
    </row>
    <row r="28" spans="2:11" s="219" customFormat="1" ht="12.75" x14ac:dyDescent="0.2">
      <c r="B28" s="32"/>
      <c r="C28" s="32" t="s">
        <v>111</v>
      </c>
      <c r="D28" s="32">
        <v>47</v>
      </c>
      <c r="E28" s="32" t="s">
        <v>112</v>
      </c>
      <c r="F28" s="32"/>
      <c r="G28" s="32"/>
      <c r="H28" s="32"/>
      <c r="I28" s="32"/>
      <c r="J28" s="32"/>
    </row>
    <row r="29" spans="2:11" s="219" customFormat="1" ht="12.75" x14ac:dyDescent="0.2">
      <c r="B29" s="32"/>
      <c r="C29" s="32"/>
      <c r="D29" s="32"/>
      <c r="E29" s="32"/>
      <c r="F29" s="32"/>
      <c r="G29" s="32"/>
      <c r="H29" s="32"/>
      <c r="I29" s="32"/>
      <c r="J29" s="32"/>
    </row>
    <row r="30" spans="2:11" s="219" customFormat="1" ht="12.75" x14ac:dyDescent="0.2">
      <c r="B30" s="32"/>
      <c r="C30" s="32" t="s">
        <v>113</v>
      </c>
      <c r="D30" s="32"/>
      <c r="E30" s="32"/>
      <c r="F30" s="32">
        <v>10</v>
      </c>
      <c r="G30" s="32" t="s">
        <v>114</v>
      </c>
      <c r="H30" s="32"/>
      <c r="I30" s="32"/>
      <c r="J30" s="32"/>
    </row>
    <row r="31" spans="2:11" s="219" customFormat="1" ht="12.75" x14ac:dyDescent="0.2">
      <c r="B31" s="32"/>
      <c r="C31" s="32"/>
      <c r="D31" s="32"/>
      <c r="E31" s="32"/>
      <c r="F31" s="32"/>
      <c r="G31" s="32"/>
      <c r="H31" s="32"/>
      <c r="I31" s="32"/>
      <c r="J31" s="32"/>
    </row>
    <row r="32" spans="2:11" s="219" customFormat="1" ht="12.75" x14ac:dyDescent="0.2">
      <c r="B32" s="32" t="s">
        <v>115</v>
      </c>
      <c r="C32" s="32"/>
      <c r="D32" s="32"/>
      <c r="E32" s="32"/>
      <c r="F32" s="32"/>
      <c r="G32" s="32"/>
      <c r="H32" s="32"/>
      <c r="I32" s="32"/>
      <c r="J32" s="32"/>
    </row>
    <row r="33" spans="2:10" s="219" customFormat="1" ht="12.75" x14ac:dyDescent="0.2">
      <c r="B33" s="32"/>
      <c r="C33" s="32"/>
      <c r="D33" s="32"/>
      <c r="E33" s="32"/>
      <c r="F33" s="32"/>
      <c r="G33" s="32"/>
      <c r="H33" s="32"/>
      <c r="I33" s="32"/>
      <c r="J33" s="32"/>
    </row>
    <row r="34" spans="2:10" s="219" customFormat="1" ht="12.75" x14ac:dyDescent="0.2">
      <c r="B34" s="32" t="s">
        <v>116</v>
      </c>
      <c r="C34" s="32" t="s">
        <v>117</v>
      </c>
      <c r="D34" s="32" t="s">
        <v>118</v>
      </c>
      <c r="E34" s="32"/>
      <c r="F34" s="32"/>
      <c r="G34" s="32">
        <f>3979.09/1000</f>
        <v>3.98</v>
      </c>
      <c r="H34" s="32" t="s">
        <v>104</v>
      </c>
      <c r="I34" s="32"/>
      <c r="J34" s="32"/>
    </row>
    <row r="35" spans="2:10" s="219" customFormat="1" ht="12.75" x14ac:dyDescent="0.2">
      <c r="B35" s="32"/>
      <c r="C35" s="32"/>
      <c r="D35" s="32"/>
      <c r="E35" s="32"/>
      <c r="F35" s="32"/>
      <c r="G35" s="32"/>
      <c r="H35" s="32"/>
      <c r="I35" s="32"/>
      <c r="J35" s="32"/>
    </row>
    <row r="36" spans="2:10" s="219" customFormat="1" ht="12.75" x14ac:dyDescent="0.2">
      <c r="B36" s="32" t="s">
        <v>119</v>
      </c>
      <c r="C36" s="32" t="s">
        <v>117</v>
      </c>
      <c r="D36" s="32" t="s">
        <v>120</v>
      </c>
      <c r="E36" s="32"/>
      <c r="F36" s="32"/>
      <c r="G36" s="32">
        <f>D28/F30</f>
        <v>4.7</v>
      </c>
      <c r="H36" s="32" t="s">
        <v>104</v>
      </c>
      <c r="I36" s="32"/>
      <c r="J36" s="32"/>
    </row>
    <row r="37" spans="2:10" s="219" customFormat="1" ht="12.75" x14ac:dyDescent="0.2">
      <c r="B37" s="32"/>
      <c r="C37" s="32"/>
      <c r="D37" s="32"/>
      <c r="E37" s="32"/>
      <c r="F37" s="32"/>
      <c r="G37" s="32"/>
      <c r="H37" s="32"/>
      <c r="I37" s="32"/>
      <c r="J37" s="32"/>
    </row>
    <row r="38" spans="2:10" s="219" customFormat="1" ht="12.75" x14ac:dyDescent="0.2">
      <c r="B38" s="32" t="s">
        <v>121</v>
      </c>
      <c r="C38" s="32"/>
      <c r="D38" s="32"/>
      <c r="E38" s="32"/>
      <c r="F38" s="32"/>
      <c r="G38" s="32">
        <v>1</v>
      </c>
      <c r="H38" s="32" t="s">
        <v>99</v>
      </c>
      <c r="I38" s="32"/>
      <c r="J38" s="32"/>
    </row>
    <row r="39" spans="2:10" s="219" customFormat="1" ht="12.75" x14ac:dyDescent="0.2">
      <c r="B39" s="32" t="s">
        <v>122</v>
      </c>
      <c r="C39" s="32"/>
      <c r="D39" s="32"/>
      <c r="E39" s="32"/>
      <c r="F39" s="32"/>
      <c r="G39" s="32">
        <f>SUM(G34:G38)</f>
        <v>9.68</v>
      </c>
      <c r="H39" s="32" t="s">
        <v>104</v>
      </c>
      <c r="I39" s="32"/>
      <c r="J39" s="32"/>
    </row>
    <row r="40" spans="2:10" s="219" customFormat="1" ht="12.75" x14ac:dyDescent="0.2">
      <c r="B40" s="32"/>
      <c r="C40" s="32"/>
      <c r="D40" s="32"/>
      <c r="E40" s="32"/>
      <c r="F40" s="32"/>
      <c r="G40" s="32"/>
      <c r="H40" s="32"/>
      <c r="I40" s="32"/>
      <c r="J40" s="32"/>
    </row>
    <row r="41" spans="2:10" s="219" customFormat="1" ht="12.75" x14ac:dyDescent="0.2">
      <c r="B41" s="34" t="s">
        <v>123</v>
      </c>
      <c r="C41" s="32">
        <f>+G39</f>
        <v>9.68</v>
      </c>
      <c r="D41" s="32" t="s">
        <v>104</v>
      </c>
      <c r="E41" s="32">
        <v>19219.400000000001</v>
      </c>
      <c r="F41" s="32"/>
      <c r="G41" s="32"/>
      <c r="H41" s="32"/>
      <c r="I41" s="32">
        <f>E41*C41</f>
        <v>186043.79</v>
      </c>
      <c r="J41" s="32"/>
    </row>
    <row r="42" spans="2:10" s="219" customFormat="1" ht="12.75" x14ac:dyDescent="0.2">
      <c r="B42" s="32"/>
      <c r="C42" s="32"/>
      <c r="D42" s="32"/>
      <c r="E42" s="32"/>
      <c r="F42" s="32"/>
      <c r="G42" s="32"/>
      <c r="H42" s="32"/>
      <c r="I42" s="32"/>
      <c r="J42" s="32"/>
    </row>
    <row r="43" spans="2:10" s="219" customFormat="1" ht="12.75" x14ac:dyDescent="0.2">
      <c r="B43" s="32"/>
      <c r="C43" s="32"/>
      <c r="D43" s="32"/>
      <c r="E43" s="32"/>
      <c r="F43" s="32"/>
      <c r="G43" s="32"/>
      <c r="H43" s="32"/>
      <c r="I43" s="32"/>
      <c r="J43" s="32"/>
    </row>
    <row r="44" spans="2:10" s="219" customFormat="1" ht="12.75" x14ac:dyDescent="0.2">
      <c r="B44" s="35" t="s">
        <v>124</v>
      </c>
      <c r="C44" s="32"/>
      <c r="D44" s="32"/>
      <c r="E44" s="32"/>
      <c r="F44" s="32"/>
      <c r="G44" s="32"/>
      <c r="H44" s="32"/>
      <c r="I44" s="32"/>
      <c r="J44" s="32"/>
    </row>
    <row r="45" spans="2:10" s="219" customFormat="1" ht="12.75" x14ac:dyDescent="0.2">
      <c r="B45" s="32"/>
      <c r="C45" s="32"/>
      <c r="D45" s="32" t="s">
        <v>2</v>
      </c>
      <c r="E45" s="32" t="s">
        <v>95</v>
      </c>
      <c r="F45" s="32" t="s">
        <v>96</v>
      </c>
      <c r="G45" s="32" t="s">
        <v>97</v>
      </c>
      <c r="H45" s="32"/>
      <c r="I45" s="32"/>
      <c r="J45" s="32"/>
    </row>
    <row r="46" spans="2:10" s="219" customFormat="1" ht="12.75" x14ac:dyDescent="0.2">
      <c r="B46" s="32" t="s">
        <v>98</v>
      </c>
      <c r="C46" s="32"/>
      <c r="D46" s="32" t="s">
        <v>85</v>
      </c>
      <c r="E46" s="32">
        <v>1</v>
      </c>
      <c r="F46" s="32">
        <f>F12*23.83</f>
        <v>61433.98</v>
      </c>
      <c r="G46" s="32">
        <f t="shared" ref="G46:G50" si="2">+E46*F46</f>
        <v>61433.98</v>
      </c>
      <c r="H46" s="32"/>
      <c r="I46" s="32"/>
      <c r="J46" s="32"/>
    </row>
    <row r="47" spans="2:10" s="219" customFormat="1" ht="12.75" x14ac:dyDescent="0.2">
      <c r="B47" s="32" t="s">
        <v>100</v>
      </c>
      <c r="C47" s="32"/>
      <c r="D47" s="32" t="s">
        <v>85</v>
      </c>
      <c r="E47" s="32">
        <v>2</v>
      </c>
      <c r="F47" s="32">
        <f>F13*23.83</f>
        <v>25021.5</v>
      </c>
      <c r="G47" s="32">
        <f t="shared" si="2"/>
        <v>50043</v>
      </c>
      <c r="H47" s="32"/>
      <c r="I47" s="32"/>
      <c r="J47" s="32"/>
    </row>
    <row r="48" spans="2:10" s="219" customFormat="1" ht="12.75" x14ac:dyDescent="0.2">
      <c r="B48" s="32" t="s">
        <v>103</v>
      </c>
      <c r="C48" s="32"/>
      <c r="D48" s="32" t="s">
        <v>85</v>
      </c>
      <c r="E48" s="32">
        <v>1</v>
      </c>
      <c r="F48" s="32">
        <v>73016.399999999994</v>
      </c>
      <c r="G48" s="32">
        <f t="shared" si="2"/>
        <v>73016.399999999994</v>
      </c>
      <c r="H48" s="32"/>
      <c r="I48" s="32"/>
      <c r="J48" s="32"/>
    </row>
    <row r="49" spans="2:10" s="219" customFormat="1" ht="12.75" x14ac:dyDescent="0.2">
      <c r="B49" s="32" t="s">
        <v>106</v>
      </c>
      <c r="C49" s="32"/>
      <c r="D49" s="32" t="s">
        <v>85</v>
      </c>
      <c r="E49" s="32">
        <v>1</v>
      </c>
      <c r="F49" s="32">
        <f>F18*23.83</f>
        <v>72499.199999999997</v>
      </c>
      <c r="G49" s="32">
        <f t="shared" si="2"/>
        <v>72499.199999999997</v>
      </c>
      <c r="H49" s="32"/>
      <c r="I49" s="32"/>
      <c r="J49" s="32"/>
    </row>
    <row r="50" spans="2:10" s="219" customFormat="1" ht="12.75" x14ac:dyDescent="0.2">
      <c r="B50" s="32" t="s">
        <v>107</v>
      </c>
      <c r="C50" s="32"/>
      <c r="D50" s="32" t="s">
        <v>125</v>
      </c>
      <c r="E50" s="32">
        <v>4</v>
      </c>
      <c r="F50" s="32">
        <f>F21*23.83</f>
        <v>39319.5</v>
      </c>
      <c r="G50" s="32">
        <f t="shared" si="2"/>
        <v>157278</v>
      </c>
      <c r="H50" s="32"/>
      <c r="I50" s="32"/>
      <c r="J50" s="32"/>
    </row>
    <row r="51" spans="2:10" s="219" customFormat="1" ht="12.75" x14ac:dyDescent="0.2">
      <c r="B51" s="32"/>
      <c r="C51" s="32"/>
      <c r="D51" s="32"/>
      <c r="E51" s="32"/>
      <c r="F51" s="32"/>
      <c r="G51" s="32"/>
      <c r="H51" s="32"/>
      <c r="I51" s="32"/>
      <c r="J51" s="32"/>
    </row>
    <row r="52" spans="2:10" s="219" customFormat="1" ht="12.75" x14ac:dyDescent="0.2">
      <c r="B52" s="32"/>
      <c r="C52" s="32" t="s">
        <v>126</v>
      </c>
      <c r="D52" s="32"/>
      <c r="E52" s="32"/>
      <c r="F52" s="32"/>
      <c r="G52" s="32">
        <f>SUM(G46:G51)</f>
        <v>414270.58</v>
      </c>
      <c r="H52" s="32"/>
      <c r="I52" s="32"/>
      <c r="J52" s="32"/>
    </row>
    <row r="53" spans="2:10" s="219" customFormat="1" ht="12.75" x14ac:dyDescent="0.2">
      <c r="B53" s="32"/>
      <c r="C53" s="32"/>
      <c r="D53" s="32"/>
      <c r="E53" s="32"/>
      <c r="F53" s="32"/>
      <c r="G53" s="32"/>
      <c r="H53" s="32"/>
      <c r="I53" s="32"/>
      <c r="J53" s="32"/>
    </row>
    <row r="54" spans="2:10" s="219" customFormat="1" ht="12.75" x14ac:dyDescent="0.2">
      <c r="B54" s="32"/>
      <c r="C54" s="32" t="s">
        <v>127</v>
      </c>
      <c r="D54" s="32"/>
      <c r="E54" s="32"/>
      <c r="F54" s="32"/>
      <c r="G54" s="32">
        <f>G52/23.83</f>
        <v>17384.41</v>
      </c>
      <c r="H54" s="32"/>
      <c r="I54" s="32"/>
      <c r="J54" s="32"/>
    </row>
    <row r="55" spans="2:10" s="219" customFormat="1" ht="12.75" x14ac:dyDescent="0.2">
      <c r="B55" s="32"/>
      <c r="C55" s="32"/>
      <c r="D55" s="32"/>
      <c r="E55" s="32"/>
      <c r="F55" s="32"/>
      <c r="G55" s="32"/>
      <c r="H55" s="32"/>
      <c r="I55" s="32"/>
      <c r="J55" s="32"/>
    </row>
    <row r="56" spans="2:10" s="219" customFormat="1" ht="12.75" x14ac:dyDescent="0.2">
      <c r="B56" s="32"/>
      <c r="C56" s="32" t="s">
        <v>128</v>
      </c>
      <c r="D56" s="32"/>
      <c r="E56" s="32"/>
      <c r="F56" s="32" t="s">
        <v>129</v>
      </c>
      <c r="G56" s="32">
        <v>4</v>
      </c>
      <c r="H56" s="32"/>
      <c r="I56" s="32"/>
      <c r="J56" s="32"/>
    </row>
    <row r="57" spans="2:10" s="219" customFormat="1" ht="12.75" x14ac:dyDescent="0.2">
      <c r="B57" s="32"/>
      <c r="C57" s="32"/>
      <c r="D57" s="32"/>
      <c r="E57" s="32"/>
      <c r="F57" s="32"/>
      <c r="G57" s="32"/>
      <c r="H57" s="32"/>
      <c r="I57" s="32"/>
      <c r="J57" s="32"/>
    </row>
    <row r="58" spans="2:10" s="219" customFormat="1" ht="12.75" x14ac:dyDescent="0.2">
      <c r="B58" s="32"/>
      <c r="C58" s="32"/>
      <c r="D58" s="32"/>
      <c r="E58" s="32" t="s">
        <v>130</v>
      </c>
      <c r="F58" s="32" t="s">
        <v>125</v>
      </c>
      <c r="G58" s="32">
        <v>3</v>
      </c>
      <c r="H58" s="32" t="s">
        <v>85</v>
      </c>
      <c r="I58" s="32"/>
      <c r="J58" s="32"/>
    </row>
    <row r="59" spans="2:10" s="219" customFormat="1" ht="12.75" x14ac:dyDescent="0.2">
      <c r="B59" s="32"/>
      <c r="C59" s="32"/>
      <c r="D59" s="32"/>
      <c r="E59" s="32"/>
      <c r="F59" s="32"/>
      <c r="G59" s="32"/>
      <c r="H59" s="32"/>
      <c r="I59" s="32"/>
      <c r="J59" s="32"/>
    </row>
    <row r="60" spans="2:10" s="219" customFormat="1" ht="12.75" x14ac:dyDescent="0.2">
      <c r="B60" s="32"/>
      <c r="C60" s="32" t="s">
        <v>131</v>
      </c>
      <c r="D60" s="32"/>
      <c r="E60" s="32">
        <f>+G58</f>
        <v>3</v>
      </c>
      <c r="F60" s="32">
        <f>+G56</f>
        <v>4</v>
      </c>
      <c r="G60" s="32">
        <f>E60*F60</f>
        <v>12</v>
      </c>
      <c r="H60" s="32"/>
      <c r="I60" s="32"/>
      <c r="J60" s="32"/>
    </row>
    <row r="61" spans="2:10" s="219" customFormat="1" ht="12.75" x14ac:dyDescent="0.2">
      <c r="B61" s="32"/>
      <c r="C61" s="32"/>
      <c r="D61" s="32"/>
      <c r="E61" s="32"/>
      <c r="F61" s="32"/>
      <c r="G61" s="32"/>
      <c r="H61" s="32"/>
      <c r="I61" s="32"/>
      <c r="J61" s="32"/>
    </row>
    <row r="62" spans="2:10" s="219" customFormat="1" ht="12.75" x14ac:dyDescent="0.2">
      <c r="B62" s="32"/>
      <c r="C62" s="32" t="s">
        <v>131</v>
      </c>
      <c r="D62" s="32"/>
      <c r="E62" s="32">
        <f>G60</f>
        <v>12</v>
      </c>
      <c r="F62" s="32"/>
      <c r="G62" s="32">
        <f>+G54</f>
        <v>17384.41</v>
      </c>
      <c r="H62" s="32"/>
      <c r="I62" s="32">
        <f>G62*E62</f>
        <v>208612.92</v>
      </c>
      <c r="J62" s="32"/>
    </row>
    <row r="63" spans="2:10" s="219" customFormat="1" ht="12.75" x14ac:dyDescent="0.2">
      <c r="B63" s="32"/>
      <c r="C63" s="32"/>
      <c r="D63" s="32"/>
      <c r="E63" s="32"/>
      <c r="F63" s="32"/>
      <c r="G63" s="32"/>
      <c r="H63" s="32"/>
      <c r="I63" s="32"/>
      <c r="J63" s="32"/>
    </row>
    <row r="64" spans="2:10" s="219" customFormat="1" ht="12.75" x14ac:dyDescent="0.2">
      <c r="B64" s="32"/>
      <c r="C64" s="32" t="s">
        <v>132</v>
      </c>
      <c r="D64" s="32"/>
      <c r="E64" s="32"/>
      <c r="F64" s="32"/>
      <c r="G64" s="32"/>
      <c r="H64" s="32"/>
      <c r="I64" s="32">
        <f>SUM(I40:I62)</f>
        <v>394656.71</v>
      </c>
      <c r="J64" s="32"/>
    </row>
    <row r="65" spans="1:10" s="219" customFormat="1" ht="12.75" x14ac:dyDescent="0.2">
      <c r="B65" s="32"/>
      <c r="C65" s="32"/>
      <c r="D65" s="32"/>
      <c r="E65" s="32"/>
      <c r="F65" s="32"/>
      <c r="G65" s="32"/>
      <c r="H65" s="32"/>
      <c r="I65" s="32"/>
      <c r="J65" s="32"/>
    </row>
    <row r="66" spans="1:10" s="219" customFormat="1" ht="12.75" x14ac:dyDescent="0.2">
      <c r="B66" s="32"/>
      <c r="C66" s="32"/>
      <c r="D66" s="35" t="s">
        <v>133</v>
      </c>
      <c r="E66" s="35">
        <f>+I64/10000</f>
        <v>39.47</v>
      </c>
      <c r="F66" s="32"/>
      <c r="G66" s="32"/>
      <c r="H66" s="32"/>
      <c r="I66" s="32"/>
      <c r="J66" s="32"/>
    </row>
    <row r="67" spans="1:10" s="222" customFormat="1" ht="12.75" x14ac:dyDescent="0.2"/>
    <row r="68" spans="1:10" x14ac:dyDescent="0.2">
      <c r="A68" s="216"/>
      <c r="B68" s="217"/>
      <c r="C68" s="9"/>
      <c r="D68" s="218"/>
      <c r="E68" s="2"/>
      <c r="I68" s="2"/>
    </row>
    <row r="69" spans="1:10" ht="15" x14ac:dyDescent="0.2">
      <c r="A69" s="214">
        <v>2</v>
      </c>
      <c r="B69" s="215" t="s">
        <v>15</v>
      </c>
      <c r="C69" s="9"/>
      <c r="D69" s="218"/>
      <c r="E69" s="2"/>
      <c r="I69" s="2"/>
    </row>
    <row r="70" spans="1:10" ht="16.5" x14ac:dyDescent="0.2">
      <c r="A70" s="216">
        <f>0.1+A69</f>
        <v>2.1</v>
      </c>
      <c r="B70" s="217" t="s">
        <v>52</v>
      </c>
      <c r="C70" s="9">
        <v>10093.93</v>
      </c>
      <c r="D70" s="223" t="s">
        <v>47</v>
      </c>
      <c r="E70" s="2"/>
      <c r="F70" s="2"/>
      <c r="G70" s="4"/>
      <c r="I70" s="2"/>
    </row>
    <row r="71" spans="1:10" s="229" customFormat="1" ht="12" customHeight="1" collapsed="1" x14ac:dyDescent="0.2">
      <c r="A71" s="224"/>
      <c r="B71" s="225"/>
      <c r="C71" s="226"/>
      <c r="D71" s="227"/>
      <c r="E71" s="228"/>
      <c r="F71" s="228"/>
      <c r="G71" s="228"/>
      <c r="H71" s="228"/>
      <c r="I71" s="228"/>
    </row>
    <row r="72" spans="1:10" s="229" customFormat="1" ht="22.5" x14ac:dyDescent="0.2">
      <c r="A72" s="230"/>
      <c r="B72" s="231" t="s">
        <v>134</v>
      </c>
      <c r="C72" s="232">
        <v>1</v>
      </c>
      <c r="D72" s="233" t="s">
        <v>135</v>
      </c>
      <c r="E72" s="234"/>
      <c r="F72" s="234"/>
      <c r="G72" s="234">
        <f>+G80/C74</f>
        <v>110.92</v>
      </c>
      <c r="H72" s="234">
        <f>+H80/C74</f>
        <v>11.56</v>
      </c>
      <c r="I72" s="235">
        <f>+I80/C74</f>
        <v>122.48</v>
      </c>
      <c r="J72" s="36"/>
    </row>
    <row r="73" spans="1:10" s="229" customFormat="1" ht="11.25" outlineLevel="1" x14ac:dyDescent="0.2">
      <c r="A73" s="230"/>
      <c r="B73" s="225" t="s">
        <v>136</v>
      </c>
      <c r="C73" s="232"/>
      <c r="D73" s="233"/>
      <c r="E73" s="234"/>
      <c r="F73" s="234"/>
      <c r="G73" s="234"/>
      <c r="H73" s="234"/>
      <c r="I73" s="235"/>
      <c r="J73" s="236"/>
    </row>
    <row r="74" spans="1:10" s="229" customFormat="1" ht="11.25" outlineLevel="1" x14ac:dyDescent="0.2">
      <c r="A74" s="230"/>
      <c r="B74" s="237" t="s">
        <v>137</v>
      </c>
      <c r="C74" s="226">
        <v>1450</v>
      </c>
      <c r="D74" s="227" t="s">
        <v>135</v>
      </c>
      <c r="E74" s="234"/>
      <c r="F74" s="234"/>
      <c r="G74" s="234"/>
      <c r="H74" s="234"/>
      <c r="I74" s="235"/>
      <c r="J74" s="236"/>
    </row>
    <row r="75" spans="1:10" s="229" customFormat="1" ht="11.25" outlineLevel="1" x14ac:dyDescent="0.2">
      <c r="A75" s="230"/>
      <c r="B75" s="237" t="s">
        <v>138</v>
      </c>
      <c r="C75" s="226"/>
      <c r="D75" s="227"/>
      <c r="E75" s="234"/>
      <c r="F75" s="234"/>
      <c r="G75" s="234"/>
      <c r="H75" s="234"/>
      <c r="I75" s="235"/>
      <c r="J75" s="236"/>
    </row>
    <row r="76" spans="1:10" s="229" customFormat="1" ht="11.25" outlineLevel="1" x14ac:dyDescent="0.2">
      <c r="A76" s="230"/>
      <c r="B76" s="225" t="s">
        <v>139</v>
      </c>
      <c r="C76" s="226">
        <v>33</v>
      </c>
      <c r="D76" s="238" t="s">
        <v>140</v>
      </c>
      <c r="E76" s="234"/>
      <c r="F76" s="234"/>
      <c r="G76" s="234"/>
      <c r="H76" s="234"/>
      <c r="I76" s="235"/>
      <c r="J76" s="236"/>
    </row>
    <row r="77" spans="1:10" s="229" customFormat="1" ht="11.25" outlineLevel="1" x14ac:dyDescent="0.2">
      <c r="A77" s="224"/>
      <c r="B77" s="237" t="s">
        <v>141</v>
      </c>
      <c r="C77" s="226"/>
      <c r="D77" s="227"/>
      <c r="E77" s="228"/>
      <c r="F77" s="228"/>
      <c r="G77" s="228"/>
      <c r="H77" s="228"/>
      <c r="I77" s="228"/>
    </row>
    <row r="78" spans="1:10" s="229" customFormat="1" ht="11.25" outlineLevel="1" x14ac:dyDescent="0.2">
      <c r="A78" s="224"/>
      <c r="B78" s="225" t="s">
        <v>142</v>
      </c>
      <c r="C78" s="226">
        <f>ROUND((C74/C76),4)</f>
        <v>43.94</v>
      </c>
      <c r="D78" s="227" t="s">
        <v>143</v>
      </c>
      <c r="E78" s="228">
        <v>3114.14</v>
      </c>
      <c r="F78" s="228">
        <v>381.36</v>
      </c>
      <c r="G78" s="228">
        <f>ROUND((C78*(E78)),2)</f>
        <v>136835.31</v>
      </c>
      <c r="H78" s="228">
        <f>ROUND((C78*(F78)),2)</f>
        <v>16756.96</v>
      </c>
      <c r="I78" s="228"/>
    </row>
    <row r="79" spans="1:10" s="229" customFormat="1" ht="11.25" outlineLevel="1" x14ac:dyDescent="0.2">
      <c r="A79" s="224"/>
      <c r="B79" s="225" t="s">
        <v>144</v>
      </c>
      <c r="C79" s="226">
        <f>0.8*2</f>
        <v>1.6</v>
      </c>
      <c r="D79" s="227" t="s">
        <v>145</v>
      </c>
      <c r="E79" s="228">
        <v>15000</v>
      </c>
      <c r="F79" s="228">
        <v>0</v>
      </c>
      <c r="G79" s="228">
        <f>ROUND((C79*(E79)),2)</f>
        <v>24000</v>
      </c>
      <c r="H79" s="228">
        <f>ROUND((C79*(F79)),2)</f>
        <v>0</v>
      </c>
      <c r="I79" s="228"/>
    </row>
    <row r="80" spans="1:10" s="229" customFormat="1" ht="11.25" outlineLevel="1" x14ac:dyDescent="0.2">
      <c r="A80" s="224"/>
      <c r="B80" s="225" t="s">
        <v>146</v>
      </c>
      <c r="C80" s="226"/>
      <c r="D80" s="227"/>
      <c r="E80" s="228"/>
      <c r="F80" s="228"/>
      <c r="G80" s="228">
        <f>SUM(G78:G79)</f>
        <v>160835.31</v>
      </c>
      <c r="H80" s="228">
        <f>SUM(H78:H79)</f>
        <v>16756.96</v>
      </c>
      <c r="I80" s="228">
        <f>SUM(G80:H80)</f>
        <v>177592.27</v>
      </c>
    </row>
    <row r="81" spans="1:9" s="229" customFormat="1" ht="11.25" x14ac:dyDescent="0.2">
      <c r="A81" s="224"/>
      <c r="B81" s="225"/>
      <c r="C81" s="226"/>
      <c r="D81" s="227"/>
      <c r="E81" s="228"/>
      <c r="F81" s="228"/>
      <c r="G81" s="228"/>
      <c r="H81" s="228"/>
      <c r="I81" s="228"/>
    </row>
    <row r="82" spans="1:9" ht="16.5" x14ac:dyDescent="0.2">
      <c r="A82" s="216">
        <f>0.1+A70</f>
        <v>2.2000000000000002</v>
      </c>
      <c r="B82" s="217" t="s">
        <v>53</v>
      </c>
      <c r="C82" s="9">
        <v>9392.5</v>
      </c>
      <c r="D82" s="223" t="s">
        <v>48</v>
      </c>
      <c r="E82" s="2"/>
      <c r="F82" s="2"/>
      <c r="I82" s="2"/>
    </row>
    <row r="83" spans="1:9" s="219" customFormat="1" ht="12.75" x14ac:dyDescent="0.2">
      <c r="B83" s="228"/>
      <c r="C83" s="228"/>
      <c r="D83" s="228"/>
      <c r="E83" s="228"/>
      <c r="F83" s="228"/>
      <c r="G83" s="228"/>
    </row>
    <row r="84" spans="1:9" s="219" customFormat="1" ht="12.75" x14ac:dyDescent="0.2">
      <c r="B84" s="239" t="s">
        <v>147</v>
      </c>
      <c r="C84" s="228" t="s">
        <v>148</v>
      </c>
      <c r="D84" s="228"/>
      <c r="E84" s="228"/>
      <c r="F84" s="228" t="s">
        <v>149</v>
      </c>
      <c r="G84" s="228"/>
      <c r="H84" s="222"/>
      <c r="I84" s="222"/>
    </row>
    <row r="85" spans="1:9" s="219" customFormat="1" ht="12.75" x14ac:dyDescent="0.2">
      <c r="B85" s="239" t="s">
        <v>150</v>
      </c>
      <c r="C85" s="228"/>
      <c r="D85" s="228"/>
      <c r="E85" s="228"/>
      <c r="F85" s="228">
        <v>1850</v>
      </c>
      <c r="G85" s="228"/>
      <c r="H85" s="222"/>
      <c r="I85" s="222"/>
    </row>
    <row r="86" spans="1:9" s="219" customFormat="1" ht="12.75" x14ac:dyDescent="0.2">
      <c r="B86" s="239" t="s">
        <v>151</v>
      </c>
      <c r="C86" s="228">
        <v>0.18</v>
      </c>
      <c r="D86" s="228"/>
      <c r="E86" s="228"/>
      <c r="F86" s="228">
        <f>F85*0.18</f>
        <v>333</v>
      </c>
      <c r="G86" s="228"/>
      <c r="H86" s="222"/>
      <c r="I86" s="222"/>
    </row>
    <row r="87" spans="1:9" s="219" customFormat="1" ht="12.75" x14ac:dyDescent="0.2">
      <c r="B87" s="239" t="s">
        <v>152</v>
      </c>
      <c r="C87" s="228">
        <v>1</v>
      </c>
      <c r="D87" s="228"/>
      <c r="E87" s="228">
        <v>138.74</v>
      </c>
      <c r="F87" s="228">
        <v>138.74</v>
      </c>
      <c r="G87" s="228"/>
      <c r="H87" s="222"/>
      <c r="I87" s="222"/>
    </row>
    <row r="88" spans="1:9" s="219" customFormat="1" ht="12.75" x14ac:dyDescent="0.2">
      <c r="B88" s="239" t="s">
        <v>153</v>
      </c>
      <c r="C88" s="228">
        <v>0.04</v>
      </c>
      <c r="D88" s="228">
        <v>135</v>
      </c>
      <c r="E88" s="228">
        <v>165</v>
      </c>
      <c r="F88" s="228">
        <v>891</v>
      </c>
      <c r="G88" s="228"/>
      <c r="H88" s="222"/>
      <c r="I88" s="222"/>
    </row>
    <row r="89" spans="1:9" s="219" customFormat="1" ht="12.75" x14ac:dyDescent="0.2">
      <c r="B89" s="239" t="s">
        <v>154</v>
      </c>
      <c r="C89" s="228">
        <v>0.2</v>
      </c>
      <c r="D89" s="228"/>
      <c r="E89" s="228"/>
      <c r="F89" s="228">
        <v>178.2</v>
      </c>
      <c r="G89" s="228"/>
      <c r="H89" s="222"/>
      <c r="I89" s="222"/>
    </row>
    <row r="90" spans="1:9" s="219" customFormat="1" ht="12.75" x14ac:dyDescent="0.2">
      <c r="B90" s="239"/>
      <c r="C90" s="228"/>
      <c r="D90" s="228"/>
      <c r="E90" s="228"/>
      <c r="F90" s="228">
        <f>SUM(F85:F89)</f>
        <v>3390.94</v>
      </c>
      <c r="G90" s="228" t="s">
        <v>155</v>
      </c>
      <c r="H90" s="222"/>
      <c r="I90" s="222"/>
    </row>
    <row r="91" spans="1:9" s="219" customFormat="1" ht="12.75" x14ac:dyDescent="0.2">
      <c r="B91" s="239"/>
      <c r="C91" s="228"/>
      <c r="D91" s="228"/>
      <c r="E91" s="228"/>
      <c r="F91" s="228"/>
      <c r="G91" s="228"/>
      <c r="H91" s="222"/>
      <c r="I91" s="222"/>
    </row>
    <row r="92" spans="1:9" s="219" customFormat="1" ht="12.75" x14ac:dyDescent="0.2">
      <c r="B92" s="239" t="s">
        <v>156</v>
      </c>
      <c r="C92" s="228"/>
      <c r="D92" s="228"/>
      <c r="E92" s="228"/>
      <c r="F92" s="228"/>
      <c r="G92" s="228"/>
      <c r="H92" s="222"/>
      <c r="I92" s="222"/>
    </row>
    <row r="93" spans="1:9" s="219" customFormat="1" ht="12.75" x14ac:dyDescent="0.2">
      <c r="B93" s="239" t="s">
        <v>157</v>
      </c>
      <c r="C93" s="228">
        <v>0.2</v>
      </c>
      <c r="D93" s="228" t="s">
        <v>158</v>
      </c>
      <c r="E93" s="228">
        <v>250</v>
      </c>
      <c r="F93" s="228">
        <f>C93*E93</f>
        <v>50</v>
      </c>
      <c r="G93" s="228"/>
      <c r="H93" s="222"/>
      <c r="I93" s="222"/>
    </row>
    <row r="94" spans="1:9" s="219" customFormat="1" ht="12.75" x14ac:dyDescent="0.2">
      <c r="B94" s="239" t="s">
        <v>159</v>
      </c>
      <c r="C94" s="228">
        <v>1</v>
      </c>
      <c r="D94" s="228" t="s">
        <v>158</v>
      </c>
      <c r="E94" s="228">
        <v>87.5</v>
      </c>
      <c r="F94" s="228">
        <f>C94*E94</f>
        <v>87.5</v>
      </c>
      <c r="G94" s="228"/>
      <c r="H94" s="222"/>
      <c r="I94" s="222"/>
    </row>
    <row r="95" spans="1:9" s="219" customFormat="1" ht="12.75" x14ac:dyDescent="0.2">
      <c r="B95" s="239"/>
      <c r="C95" s="228"/>
      <c r="D95" s="228"/>
      <c r="E95" s="228"/>
      <c r="F95" s="228">
        <f>SUM(F93:F94)</f>
        <v>137.5</v>
      </c>
      <c r="G95" s="228" t="s">
        <v>155</v>
      </c>
      <c r="H95" s="222"/>
      <c r="I95" s="222"/>
    </row>
    <row r="96" spans="1:9" s="219" customFormat="1" ht="12.75" x14ac:dyDescent="0.2">
      <c r="B96" s="239"/>
      <c r="C96" s="228"/>
      <c r="D96" s="228"/>
      <c r="E96" s="228"/>
      <c r="F96" s="228"/>
      <c r="G96" s="228"/>
      <c r="H96" s="222"/>
      <c r="I96" s="222"/>
    </row>
    <row r="97" spans="2:9" s="219" customFormat="1" ht="12.75" x14ac:dyDescent="0.2">
      <c r="B97" s="239" t="s">
        <v>160</v>
      </c>
      <c r="C97" s="228"/>
      <c r="D97" s="228"/>
      <c r="E97" s="228"/>
      <c r="F97" s="228">
        <f>F90+F95</f>
        <v>3528.44</v>
      </c>
      <c r="G97" s="228" t="s">
        <v>155</v>
      </c>
      <c r="H97" s="222"/>
      <c r="I97" s="222"/>
    </row>
    <row r="98" spans="2:9" s="219" customFormat="1" ht="12.75" x14ac:dyDescent="0.2">
      <c r="B98" s="239"/>
      <c r="C98" s="228"/>
      <c r="D98" s="228"/>
      <c r="E98" s="228"/>
      <c r="F98" s="228"/>
      <c r="G98" s="228"/>
      <c r="H98" s="222"/>
      <c r="I98" s="222"/>
    </row>
    <row r="99" spans="2:9" s="219" customFormat="1" ht="12.75" x14ac:dyDescent="0.2">
      <c r="B99" s="239" t="s">
        <v>161</v>
      </c>
      <c r="C99" s="228"/>
      <c r="D99" s="228"/>
      <c r="E99" s="228"/>
      <c r="F99" s="228"/>
      <c r="G99" s="228"/>
      <c r="H99" s="222"/>
      <c r="I99" s="222"/>
    </row>
    <row r="100" spans="2:9" s="219" customFormat="1" ht="12.75" x14ac:dyDescent="0.2">
      <c r="B100" s="239"/>
      <c r="C100" s="228"/>
      <c r="D100" s="228"/>
      <c r="E100" s="228"/>
      <c r="F100" s="228"/>
      <c r="G100" s="228"/>
      <c r="H100" s="222"/>
      <c r="I100" s="222"/>
    </row>
    <row r="101" spans="2:9" s="219" customFormat="1" ht="12.75" x14ac:dyDescent="0.2">
      <c r="B101" s="239" t="s">
        <v>162</v>
      </c>
      <c r="C101" s="228"/>
      <c r="D101" s="228"/>
      <c r="E101" s="228"/>
      <c r="F101" s="228"/>
      <c r="G101" s="228"/>
      <c r="H101" s="222"/>
      <c r="I101" s="222"/>
    </row>
    <row r="102" spans="2:9" s="219" customFormat="1" ht="12.75" x14ac:dyDescent="0.2">
      <c r="B102" s="239" t="s">
        <v>163</v>
      </c>
      <c r="C102" s="228" t="s">
        <v>164</v>
      </c>
      <c r="D102" s="228"/>
      <c r="E102" s="228">
        <v>3.33</v>
      </c>
      <c r="F102" s="228"/>
      <c r="G102" s="228"/>
      <c r="H102" s="222"/>
      <c r="I102" s="222"/>
    </row>
    <row r="103" spans="2:9" s="219" customFormat="1" ht="12.75" x14ac:dyDescent="0.2">
      <c r="B103" s="239"/>
      <c r="C103" s="228"/>
      <c r="D103" s="228"/>
      <c r="E103" s="228"/>
      <c r="F103" s="228"/>
      <c r="G103" s="228"/>
      <c r="H103" s="222"/>
      <c r="I103" s="222"/>
    </row>
    <row r="104" spans="2:9" s="219" customFormat="1" ht="12.75" x14ac:dyDescent="0.2">
      <c r="B104" s="239" t="s">
        <v>165</v>
      </c>
      <c r="C104" s="228"/>
      <c r="D104" s="228"/>
      <c r="E104" s="228"/>
      <c r="F104" s="228"/>
      <c r="G104" s="228"/>
      <c r="H104" s="222"/>
      <c r="I104" s="222"/>
    </row>
    <row r="105" spans="2:9" s="219" customFormat="1" ht="12.75" x14ac:dyDescent="0.2">
      <c r="B105" s="239" t="s">
        <v>166</v>
      </c>
      <c r="C105" s="228"/>
      <c r="D105" s="228"/>
      <c r="E105" s="228">
        <v>1.54</v>
      </c>
      <c r="F105" s="228"/>
      <c r="G105" s="228"/>
      <c r="H105" s="222"/>
      <c r="I105" s="222"/>
    </row>
    <row r="106" spans="2:9" s="219" customFormat="1" ht="12.75" x14ac:dyDescent="0.2">
      <c r="B106" s="239"/>
      <c r="C106" s="228"/>
      <c r="D106" s="228"/>
      <c r="E106" s="228"/>
      <c r="F106" s="228"/>
      <c r="G106" s="228"/>
      <c r="H106" s="222"/>
      <c r="I106" s="222"/>
    </row>
    <row r="107" spans="2:9" s="219" customFormat="1" ht="12.75" x14ac:dyDescent="0.2">
      <c r="B107" s="239" t="s">
        <v>167</v>
      </c>
      <c r="C107" s="228"/>
      <c r="D107" s="228"/>
      <c r="E107" s="228">
        <v>1.8</v>
      </c>
      <c r="F107" s="228"/>
      <c r="G107" s="228"/>
      <c r="H107" s="222"/>
      <c r="I107" s="222"/>
    </row>
    <row r="108" spans="2:9" s="219" customFormat="1" ht="12.75" x14ac:dyDescent="0.2">
      <c r="B108" s="239"/>
      <c r="C108" s="228"/>
      <c r="D108" s="228"/>
      <c r="E108" s="228"/>
      <c r="F108" s="228"/>
      <c r="G108" s="228"/>
      <c r="H108" s="222"/>
      <c r="I108" s="222"/>
    </row>
    <row r="109" spans="2:9" s="219" customFormat="1" ht="12.75" x14ac:dyDescent="0.2">
      <c r="B109" s="239" t="s">
        <v>168</v>
      </c>
      <c r="C109" s="228"/>
      <c r="D109" s="228"/>
      <c r="E109" s="228">
        <v>20.010000000000002</v>
      </c>
      <c r="F109" s="228" t="s">
        <v>169</v>
      </c>
      <c r="G109" s="228"/>
      <c r="H109" s="222"/>
      <c r="I109" s="222"/>
    </row>
    <row r="110" spans="2:9" s="219" customFormat="1" ht="12.75" x14ac:dyDescent="0.2">
      <c r="B110" s="239"/>
      <c r="C110" s="228"/>
      <c r="D110" s="228"/>
      <c r="E110" s="228"/>
      <c r="F110" s="228"/>
      <c r="G110" s="228"/>
      <c r="H110" s="222"/>
      <c r="I110" s="222"/>
    </row>
    <row r="111" spans="2:9" s="219" customFormat="1" ht="12.75" x14ac:dyDescent="0.2">
      <c r="B111" s="239" t="s">
        <v>170</v>
      </c>
      <c r="C111" s="228"/>
      <c r="D111" s="228"/>
      <c r="E111" s="228">
        <v>33.65</v>
      </c>
      <c r="F111" s="228" t="s">
        <v>169</v>
      </c>
      <c r="G111" s="228"/>
      <c r="H111" s="222"/>
      <c r="I111" s="222"/>
    </row>
    <row r="112" spans="2:9" s="219" customFormat="1" ht="12.75" x14ac:dyDescent="0.2">
      <c r="B112" s="239"/>
      <c r="C112" s="228"/>
      <c r="D112" s="228"/>
      <c r="E112" s="228"/>
      <c r="F112" s="228"/>
      <c r="G112" s="228"/>
      <c r="H112" s="222"/>
      <c r="I112" s="222"/>
    </row>
    <row r="113" spans="2:9" s="219" customFormat="1" ht="12.75" x14ac:dyDescent="0.2">
      <c r="B113" s="239" t="s">
        <v>171</v>
      </c>
      <c r="C113" s="228"/>
      <c r="D113" s="228">
        <v>44.87</v>
      </c>
      <c r="E113" s="228" t="s">
        <v>169</v>
      </c>
      <c r="F113" s="228"/>
      <c r="G113" s="228"/>
      <c r="H113" s="222"/>
      <c r="I113" s="222"/>
    </row>
    <row r="114" spans="2:9" s="219" customFormat="1" ht="12.75" x14ac:dyDescent="0.2">
      <c r="B114" s="239"/>
      <c r="C114" s="228"/>
      <c r="D114" s="228"/>
      <c r="E114" s="228"/>
      <c r="F114" s="228"/>
      <c r="G114" s="228"/>
      <c r="H114" s="222"/>
      <c r="I114" s="222"/>
    </row>
    <row r="115" spans="2:9" s="219" customFormat="1" ht="12.75" x14ac:dyDescent="0.2">
      <c r="B115" s="239" t="s">
        <v>172</v>
      </c>
      <c r="C115" s="228"/>
      <c r="D115" s="228"/>
      <c r="E115" s="228"/>
      <c r="F115" s="228"/>
      <c r="G115" s="228"/>
      <c r="H115" s="222"/>
      <c r="I115" s="222"/>
    </row>
    <row r="116" spans="2:9" s="219" customFormat="1" ht="12.75" x14ac:dyDescent="0.2">
      <c r="B116" s="239"/>
      <c r="C116" s="228"/>
      <c r="D116" s="228"/>
      <c r="E116" s="228"/>
      <c r="F116" s="228"/>
      <c r="G116" s="228"/>
      <c r="H116" s="222"/>
      <c r="I116" s="222"/>
    </row>
    <row r="117" spans="2:9" s="219" customFormat="1" ht="12.75" x14ac:dyDescent="0.2">
      <c r="B117" s="239" t="s">
        <v>173</v>
      </c>
      <c r="C117" s="228"/>
      <c r="D117" s="228"/>
      <c r="E117" s="228">
        <v>124.4</v>
      </c>
      <c r="F117" s="228" t="s">
        <v>174</v>
      </c>
      <c r="G117" s="228"/>
      <c r="H117" s="222"/>
      <c r="I117" s="222"/>
    </row>
    <row r="118" spans="2:9" s="219" customFormat="1" ht="12.75" x14ac:dyDescent="0.2">
      <c r="B118" s="239"/>
      <c r="C118" s="228"/>
      <c r="D118" s="228"/>
      <c r="E118" s="228"/>
      <c r="F118" s="228"/>
      <c r="G118" s="228"/>
      <c r="H118" s="222"/>
      <c r="I118" s="222"/>
    </row>
    <row r="119" spans="2:9" s="219" customFormat="1" ht="12.75" x14ac:dyDescent="0.2">
      <c r="B119" s="239" t="s">
        <v>175</v>
      </c>
      <c r="C119" s="228" t="s">
        <v>176</v>
      </c>
      <c r="D119" s="228"/>
      <c r="E119" s="228" t="s">
        <v>177</v>
      </c>
      <c r="F119" s="228"/>
      <c r="G119" s="228"/>
      <c r="H119" s="222"/>
      <c r="I119" s="222"/>
    </row>
    <row r="120" spans="2:9" s="219" customFormat="1" ht="12.75" x14ac:dyDescent="0.2">
      <c r="B120" s="239"/>
      <c r="C120" s="228"/>
      <c r="D120" s="228"/>
      <c r="E120" s="228"/>
      <c r="F120" s="228"/>
      <c r="G120" s="228"/>
      <c r="H120" s="222"/>
      <c r="I120" s="222"/>
    </row>
    <row r="121" spans="2:9" s="219" customFormat="1" ht="12.75" x14ac:dyDescent="0.2">
      <c r="B121" s="239" t="s">
        <v>175</v>
      </c>
      <c r="C121" s="228">
        <v>290</v>
      </c>
      <c r="D121" s="228" t="s">
        <v>178</v>
      </c>
      <c r="E121" s="228"/>
      <c r="F121" s="228"/>
      <c r="G121" s="228"/>
      <c r="H121" s="222"/>
      <c r="I121" s="222"/>
    </row>
    <row r="122" spans="2:9" s="219" customFormat="1" ht="12.75" x14ac:dyDescent="0.2">
      <c r="B122" s="239"/>
      <c r="C122" s="228"/>
      <c r="D122" s="228"/>
      <c r="E122" s="228"/>
      <c r="F122" s="228"/>
      <c r="G122" s="228"/>
      <c r="H122" s="222"/>
      <c r="I122" s="222"/>
    </row>
    <row r="123" spans="2:9" s="219" customFormat="1" ht="12.75" x14ac:dyDescent="0.2">
      <c r="B123" s="239" t="s">
        <v>179</v>
      </c>
      <c r="C123" s="228"/>
      <c r="D123" s="228"/>
      <c r="E123" s="228"/>
      <c r="F123" s="228"/>
      <c r="G123" s="228"/>
      <c r="H123" s="222"/>
      <c r="I123" s="222"/>
    </row>
    <row r="124" spans="2:9" s="219" customFormat="1" ht="12.75" x14ac:dyDescent="0.2">
      <c r="B124" s="239"/>
      <c r="C124" s="228"/>
      <c r="D124" s="228"/>
      <c r="E124" s="228"/>
      <c r="F124" s="228"/>
      <c r="G124" s="228"/>
      <c r="H124" s="222"/>
      <c r="I124" s="222"/>
    </row>
    <row r="125" spans="2:9" s="219" customFormat="1" ht="12.75" x14ac:dyDescent="0.2">
      <c r="B125" s="239" t="s">
        <v>175</v>
      </c>
      <c r="C125" s="228" t="s">
        <v>180</v>
      </c>
      <c r="D125" s="228"/>
      <c r="E125" s="228">
        <v>124.65</v>
      </c>
      <c r="F125" s="228" t="s">
        <v>181</v>
      </c>
      <c r="G125" s="228"/>
      <c r="H125" s="222"/>
      <c r="I125" s="222"/>
    </row>
    <row r="126" spans="2:9" s="219" customFormat="1" ht="12.75" x14ac:dyDescent="0.2">
      <c r="B126" s="239"/>
      <c r="C126" s="228"/>
      <c r="D126" s="228"/>
      <c r="E126" s="228"/>
      <c r="F126" s="228"/>
      <c r="G126" s="228"/>
      <c r="H126" s="222"/>
      <c r="I126" s="222"/>
    </row>
    <row r="127" spans="2:9" s="219" customFormat="1" ht="12.75" x14ac:dyDescent="0.2">
      <c r="B127" s="239" t="s">
        <v>182</v>
      </c>
      <c r="C127" s="228" t="s">
        <v>183</v>
      </c>
      <c r="D127" s="228"/>
      <c r="E127" s="228">
        <f>F97/E125</f>
        <v>28.31</v>
      </c>
      <c r="F127" s="228" t="s">
        <v>184</v>
      </c>
      <c r="G127" s="228"/>
      <c r="H127" s="222"/>
      <c r="I127" s="222"/>
    </row>
    <row r="128" spans="2:9" s="219" customFormat="1" ht="12.75" x14ac:dyDescent="0.2">
      <c r="B128" s="240"/>
      <c r="C128" s="240"/>
      <c r="D128" s="240"/>
      <c r="E128" s="240"/>
      <c r="F128" s="240"/>
      <c r="G128" s="241"/>
      <c r="H128" s="222"/>
      <c r="I128" s="222"/>
    </row>
    <row r="129" spans="1:9" ht="16.5" x14ac:dyDescent="0.2">
      <c r="A129" s="216">
        <f>0.1+A82</f>
        <v>2.2999999999999998</v>
      </c>
      <c r="B129" s="217" t="s">
        <v>54</v>
      </c>
      <c r="C129" s="9">
        <v>985.95</v>
      </c>
      <c r="D129" s="223" t="s">
        <v>47</v>
      </c>
      <c r="E129" s="2"/>
      <c r="G129" s="2"/>
      <c r="I129" s="2"/>
    </row>
    <row r="130" spans="1:9" s="219" customFormat="1" ht="12.75" x14ac:dyDescent="0.2"/>
    <row r="131" spans="1:9" s="219" customFormat="1" ht="12.75" x14ac:dyDescent="0.2">
      <c r="B131" s="239" t="s">
        <v>185</v>
      </c>
      <c r="C131" s="239"/>
      <c r="D131" s="239"/>
      <c r="E131" s="239"/>
      <c r="F131" s="239"/>
      <c r="G131" s="239"/>
      <c r="H131" s="239"/>
    </row>
    <row r="132" spans="1:9" s="219" customFormat="1" ht="12.75" x14ac:dyDescent="0.2">
      <c r="B132" s="239" t="s">
        <v>186</v>
      </c>
      <c r="C132" s="239">
        <v>1</v>
      </c>
      <c r="D132" s="239" t="s">
        <v>187</v>
      </c>
      <c r="E132" s="239">
        <v>1350</v>
      </c>
      <c r="F132" s="239"/>
      <c r="G132" s="239">
        <f>+E132*C132</f>
        <v>1350</v>
      </c>
      <c r="H132" s="239"/>
    </row>
    <row r="133" spans="1:9" s="219" customFormat="1" ht="12.75" x14ac:dyDescent="0.2">
      <c r="B133" s="239"/>
      <c r="C133" s="239"/>
      <c r="D133" s="239"/>
      <c r="E133" s="239"/>
      <c r="F133" s="239"/>
      <c r="G133" s="239"/>
      <c r="H133" s="239"/>
    </row>
    <row r="134" spans="1:9" s="219" customFormat="1" ht="12.75" x14ac:dyDescent="0.2">
      <c r="B134" s="239" t="s">
        <v>156</v>
      </c>
      <c r="C134" s="239"/>
      <c r="D134" s="239"/>
      <c r="E134" s="239"/>
      <c r="F134" s="239"/>
      <c r="G134" s="239"/>
      <c r="H134" s="239"/>
    </row>
    <row r="135" spans="1:9" s="219" customFormat="1" ht="12.75" x14ac:dyDescent="0.2">
      <c r="B135" s="239" t="s">
        <v>188</v>
      </c>
      <c r="C135" s="239">
        <v>0.25</v>
      </c>
      <c r="D135" s="239" t="s">
        <v>99</v>
      </c>
      <c r="E135" s="239">
        <v>225</v>
      </c>
      <c r="F135" s="239"/>
      <c r="G135" s="239">
        <f>C135*E135</f>
        <v>56.25</v>
      </c>
      <c r="H135" s="239"/>
    </row>
    <row r="136" spans="1:9" s="219" customFormat="1" ht="12.75" x14ac:dyDescent="0.2">
      <c r="B136" s="239" t="s">
        <v>189</v>
      </c>
      <c r="C136" s="239">
        <v>2</v>
      </c>
      <c r="D136" s="239" t="s">
        <v>99</v>
      </c>
      <c r="E136" s="239">
        <v>108.05</v>
      </c>
      <c r="F136" s="239"/>
      <c r="G136" s="239">
        <f>C136*E136</f>
        <v>216.1</v>
      </c>
      <c r="H136" s="239"/>
    </row>
    <row r="137" spans="1:9" s="219" customFormat="1" ht="12.75" x14ac:dyDescent="0.2">
      <c r="B137" s="239"/>
      <c r="C137" s="239"/>
      <c r="D137" s="239"/>
      <c r="E137" s="239"/>
      <c r="F137" s="239"/>
      <c r="G137" s="239">
        <f>SUM(G135:G136)</f>
        <v>272.35000000000002</v>
      </c>
      <c r="H137" s="239" t="s">
        <v>190</v>
      </c>
    </row>
    <row r="138" spans="1:9" s="219" customFormat="1" ht="12.75" x14ac:dyDescent="0.2">
      <c r="B138" s="239"/>
      <c r="C138" s="239"/>
      <c r="D138" s="239"/>
      <c r="E138" s="239">
        <f>108.05*8</f>
        <v>864.4</v>
      </c>
      <c r="F138" s="239"/>
      <c r="G138" s="239"/>
      <c r="H138" s="239"/>
    </row>
    <row r="139" spans="1:9" s="219" customFormat="1" ht="12.75" x14ac:dyDescent="0.2">
      <c r="B139" s="239" t="s">
        <v>191</v>
      </c>
      <c r="C139" s="239">
        <v>0.03</v>
      </c>
      <c r="D139" s="239"/>
      <c r="E139" s="239"/>
      <c r="F139" s="239"/>
      <c r="G139" s="239">
        <f>+C139*G137</f>
        <v>8.17</v>
      </c>
      <c r="H139" s="239" t="s">
        <v>190</v>
      </c>
      <c r="I139" s="222"/>
    </row>
    <row r="140" spans="1:9" s="219" customFormat="1" ht="12.75" x14ac:dyDescent="0.2">
      <c r="B140" s="239" t="s">
        <v>192</v>
      </c>
      <c r="C140" s="239">
        <v>4.5</v>
      </c>
      <c r="D140" s="239" t="s">
        <v>193</v>
      </c>
      <c r="E140" s="239"/>
      <c r="F140" s="239"/>
      <c r="G140" s="239">
        <f>+(G137+G139)/C140</f>
        <v>62.34</v>
      </c>
      <c r="H140" s="239"/>
    </row>
    <row r="141" spans="1:9" s="219" customFormat="1" ht="12.75" x14ac:dyDescent="0.2">
      <c r="B141" s="239" t="s">
        <v>194</v>
      </c>
      <c r="C141" s="239">
        <v>0.8</v>
      </c>
      <c r="D141" s="239"/>
      <c r="E141" s="239"/>
      <c r="F141" s="239"/>
      <c r="G141" s="239"/>
      <c r="H141" s="239"/>
    </row>
    <row r="142" spans="1:9" s="219" customFormat="1" ht="12.75" x14ac:dyDescent="0.2">
      <c r="B142" s="239"/>
      <c r="C142" s="239"/>
      <c r="D142" s="239"/>
      <c r="E142" s="239"/>
      <c r="F142" s="239"/>
      <c r="G142" s="239"/>
      <c r="H142" s="239"/>
    </row>
    <row r="143" spans="1:9" s="219" customFormat="1" ht="12.75" x14ac:dyDescent="0.2">
      <c r="B143" s="239" t="s">
        <v>195</v>
      </c>
      <c r="C143" s="239"/>
      <c r="D143" s="239"/>
      <c r="E143" s="239"/>
      <c r="F143" s="239"/>
      <c r="G143" s="242">
        <f>+G140/C141</f>
        <v>77.930000000000007</v>
      </c>
      <c r="H143" s="242" t="s">
        <v>196</v>
      </c>
    </row>
    <row r="144" spans="1:9" s="219" customFormat="1" ht="12.75" x14ac:dyDescent="0.2">
      <c r="B144" s="239"/>
      <c r="C144" s="239"/>
      <c r="D144" s="239"/>
      <c r="E144" s="239" t="s">
        <v>197</v>
      </c>
      <c r="F144" s="239"/>
      <c r="G144" s="242">
        <f>+(G132+G143)</f>
        <v>1427.93</v>
      </c>
      <c r="H144" s="242" t="s">
        <v>196</v>
      </c>
    </row>
    <row r="145" spans="1:10" s="219" customFormat="1" ht="12.75" x14ac:dyDescent="0.2"/>
    <row r="146" spans="1:10" ht="42.75" x14ac:dyDescent="0.2">
      <c r="A146" s="216">
        <f>0.1+A129</f>
        <v>2.4</v>
      </c>
      <c r="B146" s="243" t="s">
        <v>87</v>
      </c>
      <c r="C146" s="244">
        <v>8575.59</v>
      </c>
      <c r="D146" s="223" t="s">
        <v>47</v>
      </c>
      <c r="E146" s="2"/>
      <c r="F146" s="2"/>
      <c r="G146" s="5"/>
      <c r="I146" s="2"/>
    </row>
    <row r="147" spans="1:10" s="251" customFormat="1" ht="12.6" customHeight="1" x14ac:dyDescent="0.2">
      <c r="A147" s="245"/>
      <c r="B147" s="246"/>
      <c r="C147" s="247"/>
      <c r="D147" s="248"/>
      <c r="E147" s="249"/>
      <c r="F147" s="250"/>
    </row>
    <row r="148" spans="1:10" s="229" customFormat="1" ht="11.25" x14ac:dyDescent="0.2">
      <c r="A148" s="230"/>
      <c r="B148" s="231" t="s">
        <v>198</v>
      </c>
      <c r="C148" s="232">
        <v>1</v>
      </c>
      <c r="D148" s="233" t="s">
        <v>199</v>
      </c>
      <c r="E148" s="234"/>
      <c r="F148" s="234"/>
      <c r="G148" s="234">
        <f>+G168/C150</f>
        <v>249.58</v>
      </c>
      <c r="H148" s="234">
        <f>+H168/C150</f>
        <v>19.600000000000001</v>
      </c>
      <c r="I148" s="235">
        <f>+I168/C150</f>
        <v>269.18</v>
      </c>
      <c r="J148" s="36"/>
    </row>
    <row r="149" spans="1:10" s="229" customFormat="1" ht="11.25" outlineLevel="1" x14ac:dyDescent="0.2">
      <c r="A149" s="230"/>
      <c r="B149" s="225" t="s">
        <v>200</v>
      </c>
      <c r="C149" s="232"/>
      <c r="D149" s="233"/>
      <c r="E149" s="234"/>
      <c r="F149" s="234"/>
      <c r="G149" s="234"/>
      <c r="H149" s="234"/>
      <c r="I149" s="235"/>
      <c r="J149" s="236"/>
    </row>
    <row r="150" spans="1:10" s="229" customFormat="1" ht="11.25" outlineLevel="1" x14ac:dyDescent="0.2">
      <c r="A150" s="230"/>
      <c r="B150" s="237" t="s">
        <v>137</v>
      </c>
      <c r="C150" s="226">
        <v>1150</v>
      </c>
      <c r="D150" s="227" t="s">
        <v>199</v>
      </c>
      <c r="E150" s="234"/>
      <c r="F150" s="234"/>
      <c r="G150" s="234"/>
      <c r="H150" s="234"/>
      <c r="I150" s="235"/>
      <c r="J150" s="236"/>
    </row>
    <row r="151" spans="1:10" s="229" customFormat="1" ht="11.25" outlineLevel="1" x14ac:dyDescent="0.2">
      <c r="A151" s="230"/>
      <c r="B151" s="237" t="s">
        <v>138</v>
      </c>
      <c r="C151" s="226"/>
      <c r="D151" s="227"/>
      <c r="E151" s="234"/>
      <c r="F151" s="234"/>
      <c r="G151" s="234"/>
      <c r="H151" s="234"/>
      <c r="I151" s="235"/>
      <c r="J151" s="236"/>
    </row>
    <row r="152" spans="1:10" s="229" customFormat="1" ht="11.25" outlineLevel="1" x14ac:dyDescent="0.2">
      <c r="A152" s="230"/>
      <c r="B152" s="225" t="s">
        <v>201</v>
      </c>
      <c r="C152" s="226">
        <v>100</v>
      </c>
      <c r="D152" s="238" t="s">
        <v>202</v>
      </c>
      <c r="E152" s="234"/>
      <c r="F152" s="234"/>
      <c r="G152" s="234"/>
      <c r="H152" s="234"/>
      <c r="I152" s="235"/>
      <c r="J152" s="236"/>
    </row>
    <row r="153" spans="1:10" s="229" customFormat="1" ht="11.25" outlineLevel="1" x14ac:dyDescent="0.2">
      <c r="A153" s="230"/>
      <c r="B153" s="225" t="s">
        <v>203</v>
      </c>
      <c r="C153" s="226">
        <f>+C152*2</f>
        <v>200</v>
      </c>
      <c r="D153" s="238" t="s">
        <v>202</v>
      </c>
      <c r="E153" s="234"/>
      <c r="F153" s="234"/>
      <c r="G153" s="234"/>
      <c r="H153" s="234"/>
      <c r="I153" s="235"/>
      <c r="J153" s="236"/>
    </row>
    <row r="154" spans="1:10" s="229" customFormat="1" ht="11.25" outlineLevel="1" x14ac:dyDescent="0.2">
      <c r="A154" s="230"/>
      <c r="B154" s="225" t="s">
        <v>204</v>
      </c>
      <c r="C154" s="226">
        <v>75</v>
      </c>
      <c r="D154" s="238" t="s">
        <v>202</v>
      </c>
      <c r="E154" s="234"/>
      <c r="F154" s="234"/>
      <c r="G154" s="234"/>
      <c r="H154" s="234"/>
      <c r="I154" s="235"/>
      <c r="J154" s="236"/>
    </row>
    <row r="155" spans="1:10" s="229" customFormat="1" ht="11.25" outlineLevel="1" x14ac:dyDescent="0.2">
      <c r="A155" s="230"/>
      <c r="B155" s="225" t="s">
        <v>205</v>
      </c>
      <c r="C155" s="252">
        <v>300</v>
      </c>
      <c r="D155" s="226" t="s">
        <v>206</v>
      </c>
      <c r="E155" s="234"/>
      <c r="F155" s="234"/>
      <c r="G155" s="234"/>
      <c r="H155" s="234"/>
      <c r="I155" s="235"/>
      <c r="J155" s="236"/>
    </row>
    <row r="156" spans="1:10" s="229" customFormat="1" ht="11.25" outlineLevel="1" x14ac:dyDescent="0.2">
      <c r="A156" s="230"/>
      <c r="B156" s="225" t="s">
        <v>207</v>
      </c>
      <c r="C156" s="226">
        <v>1.3</v>
      </c>
      <c r="D156" s="238"/>
      <c r="E156" s="234"/>
      <c r="F156" s="234"/>
      <c r="G156" s="234"/>
      <c r="H156" s="234"/>
      <c r="I156" s="235"/>
      <c r="J156" s="236"/>
    </row>
    <row r="157" spans="1:10" s="229" customFormat="1" ht="11.25" outlineLevel="1" x14ac:dyDescent="0.2">
      <c r="A157" s="224"/>
      <c r="B157" s="237" t="s">
        <v>141</v>
      </c>
      <c r="C157" s="226"/>
      <c r="D157" s="227"/>
      <c r="E157" s="228"/>
      <c r="F157" s="228"/>
      <c r="G157" s="228"/>
      <c r="H157" s="228"/>
      <c r="I157" s="228"/>
    </row>
    <row r="158" spans="1:10" s="229" customFormat="1" ht="11.25" outlineLevel="1" x14ac:dyDescent="0.2">
      <c r="A158" s="224"/>
      <c r="B158" s="225" t="s">
        <v>201</v>
      </c>
      <c r="C158" s="226">
        <f>+ROUND((C150/C152*C156),2)</f>
        <v>14.95</v>
      </c>
      <c r="D158" s="227" t="s">
        <v>143</v>
      </c>
      <c r="E158" s="228">
        <v>4669.18</v>
      </c>
      <c r="F158" s="228">
        <v>625.41999999999996</v>
      </c>
      <c r="G158" s="228">
        <f t="shared" ref="G158:G163" si="3">ROUND((C158*(E158)),2)</f>
        <v>69804.240000000005</v>
      </c>
      <c r="H158" s="228">
        <f t="shared" ref="H158:H163" si="4">ROUND((C158*(F158)),2)</f>
        <v>9350.0300000000007</v>
      </c>
      <c r="I158" s="228"/>
    </row>
    <row r="159" spans="1:10" s="229" customFormat="1" ht="11.25" outlineLevel="1" x14ac:dyDescent="0.2">
      <c r="A159" s="224"/>
      <c r="B159" s="225" t="s">
        <v>203</v>
      </c>
      <c r="C159" s="226">
        <f>+ROUND((C150/C153*C156),2)</f>
        <v>7.48</v>
      </c>
      <c r="D159" s="227" t="s">
        <v>143</v>
      </c>
      <c r="E159" s="228">
        <v>4669.18</v>
      </c>
      <c r="F159" s="228">
        <v>625.41999999999996</v>
      </c>
      <c r="G159" s="228">
        <f t="shared" si="3"/>
        <v>34925.47</v>
      </c>
      <c r="H159" s="228">
        <f t="shared" si="4"/>
        <v>4678.1400000000003</v>
      </c>
      <c r="I159" s="228"/>
    </row>
    <row r="160" spans="1:10" s="229" customFormat="1" ht="11.25" outlineLevel="1" x14ac:dyDescent="0.2">
      <c r="A160" s="224"/>
      <c r="B160" s="225" t="s">
        <v>204</v>
      </c>
      <c r="C160" s="226">
        <f>+ROUND((C150/C154*C156),2)</f>
        <v>19.93</v>
      </c>
      <c r="D160" s="227" t="s">
        <v>143</v>
      </c>
      <c r="E160" s="228">
        <v>3169.28</v>
      </c>
      <c r="F160" s="228">
        <v>427.12</v>
      </c>
      <c r="G160" s="228">
        <f t="shared" si="3"/>
        <v>63163.75</v>
      </c>
      <c r="H160" s="228">
        <f t="shared" si="4"/>
        <v>8512.5</v>
      </c>
      <c r="I160" s="228"/>
    </row>
    <row r="161" spans="1:10" s="229" customFormat="1" ht="11.25" outlineLevel="1" x14ac:dyDescent="0.2">
      <c r="A161" s="224"/>
      <c r="B161" s="225" t="s">
        <v>205</v>
      </c>
      <c r="C161" s="226">
        <f>+ROUND((C150/C155*C156),2)</f>
        <v>4.9800000000000004</v>
      </c>
      <c r="D161" s="227" t="s">
        <v>145</v>
      </c>
      <c r="E161" s="228">
        <v>2000</v>
      </c>
      <c r="F161" s="228">
        <v>0</v>
      </c>
      <c r="G161" s="228">
        <f t="shared" si="3"/>
        <v>9960</v>
      </c>
      <c r="H161" s="228">
        <f t="shared" si="4"/>
        <v>0</v>
      </c>
      <c r="I161" s="228"/>
    </row>
    <row r="162" spans="1:10" s="229" customFormat="1" ht="11.25" outlineLevel="1" x14ac:dyDescent="0.2">
      <c r="A162" s="224"/>
      <c r="B162" s="225" t="s">
        <v>208</v>
      </c>
      <c r="C162" s="226">
        <v>2</v>
      </c>
      <c r="D162" s="227" t="s">
        <v>145</v>
      </c>
      <c r="E162" s="228">
        <v>15000</v>
      </c>
      <c r="F162" s="228">
        <v>0</v>
      </c>
      <c r="G162" s="228">
        <f t="shared" si="3"/>
        <v>30000</v>
      </c>
      <c r="H162" s="228">
        <f t="shared" si="4"/>
        <v>0</v>
      </c>
      <c r="I162" s="228"/>
    </row>
    <row r="163" spans="1:10" s="229" customFormat="1" ht="11.25" outlineLevel="1" x14ac:dyDescent="0.2">
      <c r="A163" s="224"/>
      <c r="B163" s="225" t="s">
        <v>209</v>
      </c>
      <c r="C163" s="226">
        <v>2</v>
      </c>
      <c r="D163" s="227" t="s">
        <v>145</v>
      </c>
      <c r="E163" s="228">
        <v>12000</v>
      </c>
      <c r="F163" s="228">
        <v>0</v>
      </c>
      <c r="G163" s="228">
        <f t="shared" si="3"/>
        <v>24000</v>
      </c>
      <c r="H163" s="228">
        <f t="shared" si="4"/>
        <v>0</v>
      </c>
      <c r="I163" s="228"/>
    </row>
    <row r="164" spans="1:10" s="229" customFormat="1" ht="11.25" outlineLevel="1" x14ac:dyDescent="0.2">
      <c r="A164" s="224"/>
      <c r="B164" s="237" t="s">
        <v>210</v>
      </c>
      <c r="C164" s="226"/>
      <c r="D164" s="227"/>
      <c r="E164" s="228"/>
      <c r="F164" s="228"/>
      <c r="G164" s="228"/>
      <c r="H164" s="228"/>
      <c r="I164" s="228"/>
    </row>
    <row r="165" spans="1:10" s="229" customFormat="1" ht="11.25" outlineLevel="1" x14ac:dyDescent="0.2">
      <c r="A165" s="224"/>
      <c r="B165" s="225" t="s">
        <v>211</v>
      </c>
      <c r="C165" s="226">
        <v>3</v>
      </c>
      <c r="D165" s="227" t="s">
        <v>212</v>
      </c>
      <c r="E165" s="228">
        <v>16000</v>
      </c>
      <c r="F165" s="228">
        <v>0</v>
      </c>
      <c r="G165" s="228">
        <f>ROUND((C165*(E165)),2)</f>
        <v>48000</v>
      </c>
      <c r="H165" s="228">
        <f>ROUND((C165*(F165)),2)</f>
        <v>0</v>
      </c>
      <c r="I165" s="228"/>
    </row>
    <row r="166" spans="1:10" s="229" customFormat="1" ht="11.25" outlineLevel="1" x14ac:dyDescent="0.2">
      <c r="A166" s="224"/>
      <c r="B166" s="225" t="s">
        <v>213</v>
      </c>
      <c r="C166" s="226">
        <v>4</v>
      </c>
      <c r="D166" s="227" t="s">
        <v>212</v>
      </c>
      <c r="E166" s="228">
        <v>847</v>
      </c>
      <c r="F166" s="228">
        <v>0</v>
      </c>
      <c r="G166" s="228">
        <f>ROUND((C166*(E166)),2)</f>
        <v>3388</v>
      </c>
      <c r="H166" s="228">
        <f>ROUND((C166*(F166)),2)</f>
        <v>0</v>
      </c>
      <c r="I166" s="228"/>
    </row>
    <row r="167" spans="1:10" s="229" customFormat="1" ht="11.25" outlineLevel="1" x14ac:dyDescent="0.2">
      <c r="A167" s="224"/>
      <c r="B167" s="225" t="s">
        <v>214</v>
      </c>
      <c r="C167" s="226">
        <v>15</v>
      </c>
      <c r="D167" s="227" t="s">
        <v>215</v>
      </c>
      <c r="E167" s="228">
        <v>3771.75</v>
      </c>
      <c r="F167" s="228">
        <v>0</v>
      </c>
      <c r="G167" s="228">
        <f>+E167</f>
        <v>3771.75</v>
      </c>
      <c r="H167" s="228">
        <f>ROUND((C167*(F167)),2)</f>
        <v>0</v>
      </c>
      <c r="I167" s="228"/>
    </row>
    <row r="168" spans="1:10" s="229" customFormat="1" ht="11.25" outlineLevel="1" x14ac:dyDescent="0.2">
      <c r="A168" s="224"/>
      <c r="B168" s="225" t="s">
        <v>146</v>
      </c>
      <c r="C168" s="226"/>
      <c r="D168" s="227"/>
      <c r="E168" s="228"/>
      <c r="F168" s="228"/>
      <c r="G168" s="228">
        <f>SUM(G158:G167)</f>
        <v>287013.21000000002</v>
      </c>
      <c r="H168" s="228">
        <f>SUM(H158:H167)</f>
        <v>22540.67</v>
      </c>
      <c r="I168" s="228">
        <f>SUM(G168:H168)</f>
        <v>309553.88</v>
      </c>
    </row>
    <row r="169" spans="1:10" s="229" customFormat="1" ht="11.25" x14ac:dyDescent="0.2">
      <c r="A169" s="224"/>
      <c r="B169" s="225"/>
      <c r="C169" s="226"/>
      <c r="D169" s="227"/>
      <c r="E169" s="228"/>
      <c r="F169" s="228"/>
      <c r="G169" s="228"/>
      <c r="H169" s="228"/>
      <c r="I169" s="228"/>
    </row>
    <row r="170" spans="1:10" ht="28.5" x14ac:dyDescent="0.2">
      <c r="A170" s="216">
        <f t="shared" ref="A170" si="5">0.1+A146</f>
        <v>2.5</v>
      </c>
      <c r="B170" s="253" t="s">
        <v>61</v>
      </c>
      <c r="C170" s="244">
        <v>1822.01</v>
      </c>
      <c r="D170" s="223" t="s">
        <v>47</v>
      </c>
      <c r="E170" s="2"/>
      <c r="G170" s="4"/>
      <c r="I170" s="2"/>
    </row>
    <row r="171" spans="1:10" s="229" customFormat="1" ht="11.25" collapsed="1" x14ac:dyDescent="0.2">
      <c r="A171" s="224"/>
      <c r="B171" s="225"/>
      <c r="C171" s="226"/>
      <c r="D171" s="227"/>
      <c r="E171" s="228"/>
      <c r="F171" s="228"/>
      <c r="G171" s="228"/>
      <c r="H171" s="228"/>
      <c r="I171" s="228"/>
      <c r="J171" s="229" t="s">
        <v>356</v>
      </c>
    </row>
    <row r="172" spans="1:10" s="229" customFormat="1" ht="11.25" x14ac:dyDescent="0.2">
      <c r="A172" s="230"/>
      <c r="B172" s="231" t="s">
        <v>216</v>
      </c>
      <c r="C172" s="232">
        <v>1</v>
      </c>
      <c r="D172" s="233" t="s">
        <v>174</v>
      </c>
      <c r="E172" s="234"/>
      <c r="F172" s="234"/>
      <c r="G172" s="234">
        <f>+G179/C174</f>
        <v>257.83</v>
      </c>
      <c r="H172" s="234">
        <f>+H179/C174</f>
        <v>6.89</v>
      </c>
      <c r="I172" s="235">
        <f>+I179/C174</f>
        <v>264.72000000000003</v>
      </c>
      <c r="J172" s="235">
        <f>+I172*15</f>
        <v>3970.8</v>
      </c>
    </row>
    <row r="173" spans="1:10" s="229" customFormat="1" ht="11.25" outlineLevel="1" x14ac:dyDescent="0.2">
      <c r="A173" s="230"/>
      <c r="B173" s="225" t="s">
        <v>217</v>
      </c>
      <c r="C173" s="232"/>
      <c r="D173" s="233"/>
      <c r="E173" s="234"/>
      <c r="F173" s="234"/>
      <c r="G173" s="234"/>
      <c r="H173" s="234"/>
      <c r="I173" s="235"/>
      <c r="J173" s="236"/>
    </row>
    <row r="174" spans="1:10" s="229" customFormat="1" ht="11.25" outlineLevel="1" x14ac:dyDescent="0.2">
      <c r="A174" s="230"/>
      <c r="B174" s="237" t="s">
        <v>137</v>
      </c>
      <c r="C174" s="226">
        <v>1</v>
      </c>
      <c r="D174" s="227" t="s">
        <v>174</v>
      </c>
      <c r="E174" s="234"/>
      <c r="F174" s="234"/>
      <c r="G174" s="234"/>
      <c r="H174" s="234"/>
      <c r="I174" s="235"/>
      <c r="J174" s="236"/>
    </row>
    <row r="175" spans="1:10" s="229" customFormat="1" ht="11.25" outlineLevel="1" x14ac:dyDescent="0.2">
      <c r="A175" s="224"/>
      <c r="B175" s="237" t="s">
        <v>141</v>
      </c>
      <c r="C175" s="226"/>
      <c r="D175" s="227"/>
      <c r="E175" s="228"/>
      <c r="F175" s="228"/>
      <c r="G175" s="228"/>
      <c r="H175" s="228"/>
      <c r="I175" s="228"/>
    </row>
    <row r="176" spans="1:10" s="229" customFormat="1" ht="11.25" outlineLevel="1" x14ac:dyDescent="0.2">
      <c r="A176" s="224"/>
      <c r="B176" s="225" t="s">
        <v>218</v>
      </c>
      <c r="C176" s="226">
        <f>+C174</f>
        <v>1</v>
      </c>
      <c r="D176" s="227" t="s">
        <v>174</v>
      </c>
      <c r="E176" s="228">
        <v>62.83</v>
      </c>
      <c r="F176" s="228">
        <v>6.89</v>
      </c>
      <c r="G176" s="228">
        <f>ROUND((C176*(E176)),2)</f>
        <v>62.83</v>
      </c>
      <c r="H176" s="228">
        <f>ROUND((C176*(F176)),2)</f>
        <v>6.89</v>
      </c>
      <c r="I176" s="228"/>
    </row>
    <row r="177" spans="1:9" s="229" customFormat="1" ht="11.25" outlineLevel="1" x14ac:dyDescent="0.2">
      <c r="A177" s="224"/>
      <c r="B177" s="225" t="s">
        <v>353</v>
      </c>
      <c r="C177" s="226">
        <v>1</v>
      </c>
      <c r="D177" s="227" t="s">
        <v>145</v>
      </c>
      <c r="E177" s="228">
        <v>100</v>
      </c>
      <c r="F177" s="228">
        <v>0</v>
      </c>
      <c r="G177" s="228">
        <f>ROUND((C177*(E177)),2)</f>
        <v>100</v>
      </c>
      <c r="H177" s="228">
        <f>ROUND((C177*(F177)),2)</f>
        <v>0</v>
      </c>
      <c r="I177" s="228"/>
    </row>
    <row r="178" spans="1:9" s="229" customFormat="1" ht="11.25" outlineLevel="1" x14ac:dyDescent="0.2">
      <c r="A178" s="224"/>
      <c r="B178" s="225" t="s">
        <v>354</v>
      </c>
      <c r="C178" s="226">
        <v>5</v>
      </c>
      <c r="D178" s="227" t="s">
        <v>355</v>
      </c>
      <c r="E178" s="228">
        <v>19</v>
      </c>
      <c r="F178" s="228">
        <v>0</v>
      </c>
      <c r="G178" s="228">
        <f>ROUND((C178*(E178)),2)</f>
        <v>95</v>
      </c>
      <c r="H178" s="228">
        <f>ROUND((C178*(F178)),2)</f>
        <v>0</v>
      </c>
      <c r="I178" s="228"/>
    </row>
    <row r="179" spans="1:9" s="229" customFormat="1" ht="11.25" outlineLevel="1" x14ac:dyDescent="0.2">
      <c r="A179" s="224"/>
      <c r="B179" s="225" t="s">
        <v>146</v>
      </c>
      <c r="C179" s="226"/>
      <c r="D179" s="227"/>
      <c r="E179" s="228"/>
      <c r="F179" s="228"/>
      <c r="G179" s="228">
        <f>SUM(G176:G178)</f>
        <v>257.83</v>
      </c>
      <c r="H179" s="228">
        <f>SUM(H176:H178)</f>
        <v>6.89</v>
      </c>
      <c r="I179" s="228">
        <f>SUM(G179:H179)</f>
        <v>264.72000000000003</v>
      </c>
    </row>
    <row r="180" spans="1:9" s="229" customFormat="1" ht="11.25" x14ac:dyDescent="0.2">
      <c r="A180" s="224"/>
      <c r="B180" s="225"/>
      <c r="C180" s="226"/>
      <c r="D180" s="227"/>
      <c r="E180" s="228"/>
      <c r="F180" s="228"/>
      <c r="G180" s="228"/>
      <c r="H180" s="228"/>
      <c r="I180" s="228"/>
    </row>
    <row r="181" spans="1:9" s="251" customFormat="1" ht="12.75" x14ac:dyDescent="0.2">
      <c r="A181" s="254"/>
      <c r="B181" s="255"/>
      <c r="C181" s="256"/>
      <c r="D181" s="257"/>
      <c r="E181" s="258"/>
      <c r="F181" s="250"/>
    </row>
    <row r="182" spans="1:9" x14ac:dyDescent="0.2">
      <c r="A182" s="216"/>
      <c r="B182" s="217"/>
      <c r="C182" s="9"/>
      <c r="D182" s="218"/>
      <c r="E182" s="2"/>
      <c r="I182" s="2"/>
    </row>
    <row r="183" spans="1:9" ht="15" x14ac:dyDescent="0.2">
      <c r="A183" s="214">
        <v>3</v>
      </c>
      <c r="B183" s="215" t="s">
        <v>25</v>
      </c>
      <c r="C183" s="9"/>
      <c r="D183" s="218"/>
      <c r="E183" s="2"/>
      <c r="I183" s="2"/>
    </row>
    <row r="184" spans="1:9" x14ac:dyDescent="0.2">
      <c r="A184" s="216">
        <v>3.1</v>
      </c>
      <c r="B184" s="217" t="s">
        <v>55</v>
      </c>
      <c r="C184" s="9">
        <v>4839.8999999999996</v>
      </c>
      <c r="D184" s="218" t="s">
        <v>12</v>
      </c>
      <c r="E184" s="2"/>
      <c r="F184" s="2"/>
      <c r="G184" s="2"/>
      <c r="I184" s="2"/>
    </row>
    <row r="185" spans="1:9" s="263" customFormat="1" x14ac:dyDescent="0.2">
      <c r="A185" s="259"/>
      <c r="B185" s="260"/>
      <c r="C185" s="261"/>
      <c r="D185" s="262"/>
    </row>
    <row r="186" spans="1:9" s="263" customFormat="1" x14ac:dyDescent="0.2">
      <c r="A186" s="259"/>
      <c r="B186" s="260" t="s">
        <v>219</v>
      </c>
      <c r="C186" s="262" t="s">
        <v>220</v>
      </c>
      <c r="D186" s="262" t="s">
        <v>221</v>
      </c>
      <c r="E186" s="263" t="s">
        <v>222</v>
      </c>
      <c r="F186" s="263" t="s">
        <v>223</v>
      </c>
    </row>
    <row r="187" spans="1:9" s="222" customFormat="1" ht="12.75" x14ac:dyDescent="0.2">
      <c r="B187" s="237" t="s">
        <v>55</v>
      </c>
      <c r="C187" s="225">
        <f>76.31*58</f>
        <v>4425.9799999999996</v>
      </c>
      <c r="D187" s="225">
        <f>C187*0.18</f>
        <v>796.67639999999994</v>
      </c>
      <c r="E187" s="225">
        <f>D187+C187</f>
        <v>5222.6563999999998</v>
      </c>
      <c r="F187" s="225">
        <f>(E187/5.8)*1.02</f>
        <v>918.46716000000004</v>
      </c>
    </row>
    <row r="188" spans="1:9" s="222" customFormat="1" ht="12.75" x14ac:dyDescent="0.2">
      <c r="B188" s="225"/>
      <c r="C188" s="225"/>
      <c r="D188" s="225"/>
      <c r="E188" s="225"/>
      <c r="F188" s="225"/>
    </row>
    <row r="189" spans="1:9" x14ac:dyDescent="0.2">
      <c r="A189" s="216">
        <v>3.2</v>
      </c>
      <c r="B189" s="217" t="s">
        <v>56</v>
      </c>
      <c r="C189" s="9">
        <v>9526.7999999999993</v>
      </c>
      <c r="D189" s="218" t="s">
        <v>12</v>
      </c>
      <c r="E189" s="2"/>
      <c r="F189" s="2"/>
      <c r="G189" s="2"/>
      <c r="I189" s="2"/>
    </row>
    <row r="190" spans="1:9" s="263" customFormat="1" x14ac:dyDescent="0.2">
      <c r="A190" s="259"/>
      <c r="B190" s="260"/>
      <c r="C190" s="261"/>
      <c r="D190" s="262"/>
    </row>
    <row r="191" spans="1:9" s="263" customFormat="1" x14ac:dyDescent="0.2">
      <c r="A191" s="259"/>
      <c r="B191" s="260" t="s">
        <v>219</v>
      </c>
      <c r="C191" s="262" t="s">
        <v>220</v>
      </c>
      <c r="D191" s="262" t="s">
        <v>221</v>
      </c>
      <c r="E191" s="263" t="s">
        <v>222</v>
      </c>
      <c r="F191" s="263" t="s">
        <v>223</v>
      </c>
    </row>
    <row r="192" spans="1:9" s="222" customFormat="1" ht="12.75" x14ac:dyDescent="0.2">
      <c r="B192" s="237" t="s">
        <v>56</v>
      </c>
      <c r="C192" s="225">
        <f>45.3*58</f>
        <v>2627.4</v>
      </c>
      <c r="D192" s="225">
        <f>C192*0.18</f>
        <v>472.93200000000002</v>
      </c>
      <c r="E192" s="225">
        <f>D192+C192</f>
        <v>3100.3319999999999</v>
      </c>
      <c r="F192" s="225">
        <f>(E192/5.8)*1.02</f>
        <v>545.23080000000004</v>
      </c>
    </row>
    <row r="193" spans="1:9" s="222" customFormat="1" ht="12.75" x14ac:dyDescent="0.2">
      <c r="B193" s="225"/>
      <c r="C193" s="225"/>
      <c r="D193" s="225"/>
      <c r="E193" s="225"/>
      <c r="F193" s="225"/>
    </row>
    <row r="194" spans="1:9" x14ac:dyDescent="0.2">
      <c r="A194" s="216"/>
      <c r="B194" s="217"/>
      <c r="C194" s="9"/>
      <c r="D194" s="218"/>
      <c r="E194" s="2"/>
      <c r="I194" s="2"/>
    </row>
    <row r="195" spans="1:9" ht="15" x14ac:dyDescent="0.2">
      <c r="A195" s="214">
        <v>4</v>
      </c>
      <c r="B195" s="215" t="s">
        <v>26</v>
      </c>
      <c r="C195" s="9"/>
      <c r="D195" s="218"/>
      <c r="E195" s="2"/>
      <c r="I195" s="2"/>
    </row>
    <row r="196" spans="1:9" x14ac:dyDescent="0.2">
      <c r="A196" s="216">
        <v>4.0999999999999996</v>
      </c>
      <c r="B196" s="217" t="s">
        <v>57</v>
      </c>
      <c r="C196" s="9">
        <v>4839.8999999999996</v>
      </c>
      <c r="D196" s="218" t="s">
        <v>12</v>
      </c>
      <c r="E196" s="2"/>
      <c r="F196" s="2"/>
      <c r="G196" s="2"/>
      <c r="I196" s="2"/>
    </row>
    <row r="197" spans="1:9" s="222" customFormat="1" ht="12.75" x14ac:dyDescent="0.2">
      <c r="B197" s="225"/>
      <c r="C197" s="225"/>
      <c r="D197" s="225"/>
      <c r="E197" s="225"/>
      <c r="F197" s="225"/>
      <c r="G197" s="225"/>
      <c r="H197" s="225"/>
      <c r="I197" s="225"/>
    </row>
    <row r="198" spans="1:9" s="222" customFormat="1" ht="12.75" x14ac:dyDescent="0.2">
      <c r="B198" s="225" t="s">
        <v>224</v>
      </c>
      <c r="C198" s="225"/>
      <c r="D198" s="225"/>
      <c r="E198" s="225"/>
      <c r="F198" s="225"/>
      <c r="G198" s="225"/>
      <c r="H198" s="225"/>
      <c r="I198" s="225"/>
    </row>
    <row r="199" spans="1:9" s="222" customFormat="1" ht="12.75" x14ac:dyDescent="0.2">
      <c r="B199" s="225"/>
      <c r="C199" s="225"/>
      <c r="D199" s="225"/>
      <c r="E199" s="225"/>
      <c r="F199" s="225"/>
      <c r="G199" s="225"/>
      <c r="H199" s="225"/>
      <c r="I199" s="225"/>
    </row>
    <row r="200" spans="1:9" s="222" customFormat="1" ht="12.75" x14ac:dyDescent="0.2">
      <c r="B200" s="225" t="s">
        <v>225</v>
      </c>
      <c r="C200" s="225"/>
      <c r="D200" s="225"/>
      <c r="E200" s="225"/>
      <c r="F200" s="225"/>
      <c r="G200" s="225"/>
      <c r="H200" s="225"/>
      <c r="I200" s="225"/>
    </row>
    <row r="201" spans="1:9" s="222" customFormat="1" ht="12.75" x14ac:dyDescent="0.2">
      <c r="B201" s="225" t="s">
        <v>189</v>
      </c>
      <c r="C201" s="225">
        <v>4</v>
      </c>
      <c r="D201" s="225">
        <f>859.34*1.35</f>
        <v>1160.1089999999999</v>
      </c>
      <c r="E201" s="225">
        <f>D201*C201</f>
        <v>4640.4359999999997</v>
      </c>
      <c r="F201" s="225"/>
      <c r="G201" s="225"/>
      <c r="H201" s="225"/>
      <c r="I201" s="225"/>
    </row>
    <row r="202" spans="1:9" s="222" customFormat="1" ht="12.75" x14ac:dyDescent="0.2">
      <c r="B202" s="225"/>
      <c r="C202" s="225"/>
      <c r="D202" s="225"/>
      <c r="E202" s="225"/>
      <c r="F202" s="225"/>
      <c r="G202" s="225"/>
      <c r="H202" s="225"/>
      <c r="I202" s="225"/>
    </row>
    <row r="203" spans="1:9" s="222" customFormat="1" ht="12.75" x14ac:dyDescent="0.2">
      <c r="B203" s="225" t="s">
        <v>192</v>
      </c>
      <c r="C203" s="225">
        <v>50</v>
      </c>
      <c r="D203" s="225" t="s">
        <v>226</v>
      </c>
      <c r="E203" s="225"/>
      <c r="F203" s="225"/>
      <c r="G203" s="225"/>
      <c r="H203" s="225"/>
      <c r="I203" s="225"/>
    </row>
    <row r="204" spans="1:9" s="222" customFormat="1" ht="12.75" x14ac:dyDescent="0.2">
      <c r="B204" s="225" t="s">
        <v>191</v>
      </c>
      <c r="C204" s="225">
        <v>0.03</v>
      </c>
      <c r="D204" s="225"/>
      <c r="E204" s="225"/>
      <c r="F204" s="225"/>
      <c r="G204" s="225"/>
      <c r="H204" s="225"/>
      <c r="I204" s="225"/>
    </row>
    <row r="205" spans="1:9" s="222" customFormat="1" ht="12.75" x14ac:dyDescent="0.2">
      <c r="B205" s="225" t="s">
        <v>194</v>
      </c>
      <c r="C205" s="225">
        <v>0.5</v>
      </c>
      <c r="D205" s="225"/>
      <c r="E205" s="225"/>
      <c r="F205" s="225"/>
      <c r="G205" s="225"/>
      <c r="H205" s="225"/>
      <c r="I205" s="225"/>
    </row>
    <row r="206" spans="1:9" s="222" customFormat="1" ht="12.75" x14ac:dyDescent="0.2">
      <c r="B206" s="225"/>
      <c r="C206" s="225"/>
      <c r="D206" s="225"/>
      <c r="E206" s="225"/>
      <c r="F206" s="225"/>
      <c r="G206" s="225"/>
      <c r="H206" s="225"/>
      <c r="I206" s="225"/>
    </row>
    <row r="207" spans="1:9" s="222" customFormat="1" ht="33.75" x14ac:dyDescent="0.2">
      <c r="B207" s="225" t="s">
        <v>227</v>
      </c>
      <c r="C207" s="225" t="s">
        <v>228</v>
      </c>
      <c r="D207" s="225"/>
      <c r="E207" s="225"/>
      <c r="F207" s="225"/>
      <c r="G207" s="225">
        <f>(1.03*E201)/(C203*C205)*2</f>
        <v>382.37192640000001</v>
      </c>
      <c r="H207" s="225" t="s">
        <v>229</v>
      </c>
      <c r="I207" s="225"/>
    </row>
    <row r="208" spans="1:9" s="222" customFormat="1" ht="12.75" x14ac:dyDescent="0.2">
      <c r="B208" s="225"/>
      <c r="C208" s="225"/>
      <c r="D208" s="225"/>
      <c r="E208" s="225"/>
      <c r="F208" s="225"/>
      <c r="G208" s="225"/>
      <c r="H208" s="225"/>
      <c r="I208" s="225"/>
    </row>
    <row r="209" spans="2:9" s="222" customFormat="1" ht="12.75" x14ac:dyDescent="0.2">
      <c r="B209" s="225" t="s">
        <v>230</v>
      </c>
      <c r="C209" s="225">
        <v>0.75</v>
      </c>
      <c r="D209" s="225" t="s">
        <v>231</v>
      </c>
      <c r="E209" s="225">
        <f>150*1.37</f>
        <v>205.5</v>
      </c>
      <c r="F209" s="225"/>
      <c r="G209" s="225">
        <f>+E209*C209</f>
        <v>154.125</v>
      </c>
      <c r="H209" s="225" t="s">
        <v>229</v>
      </c>
      <c r="I209" s="225"/>
    </row>
    <row r="210" spans="2:9" s="222" customFormat="1" ht="12.75" x14ac:dyDescent="0.2">
      <c r="B210" s="225"/>
      <c r="C210" s="225"/>
      <c r="D210" s="225"/>
      <c r="E210" s="225"/>
      <c r="F210" s="225"/>
      <c r="G210" s="225"/>
      <c r="H210" s="225"/>
      <c r="I210" s="225"/>
    </row>
    <row r="211" spans="2:9" s="222" customFormat="1" ht="12.75" x14ac:dyDescent="0.2">
      <c r="B211" s="225"/>
      <c r="C211" s="225"/>
      <c r="D211" s="225"/>
      <c r="E211" s="225"/>
      <c r="F211" s="225"/>
      <c r="G211" s="225"/>
      <c r="H211" s="225"/>
      <c r="I211" s="225"/>
    </row>
    <row r="212" spans="2:9" s="222" customFormat="1" ht="12.75" x14ac:dyDescent="0.2">
      <c r="B212" s="225"/>
      <c r="C212" s="225"/>
      <c r="D212" s="225"/>
      <c r="E212" s="225"/>
      <c r="F212" s="225"/>
      <c r="G212" s="225"/>
      <c r="H212" s="225"/>
      <c r="I212" s="225"/>
    </row>
    <row r="213" spans="2:9" s="222" customFormat="1" ht="12.75" x14ac:dyDescent="0.2">
      <c r="B213" s="225" t="s">
        <v>232</v>
      </c>
      <c r="C213" s="225"/>
      <c r="D213" s="225"/>
      <c r="E213" s="225"/>
      <c r="F213" s="225"/>
      <c r="G213" s="225"/>
      <c r="H213" s="225"/>
      <c r="I213" s="225"/>
    </row>
    <row r="214" spans="2:9" s="222" customFormat="1" ht="12.75" x14ac:dyDescent="0.2">
      <c r="B214" s="225"/>
      <c r="C214" s="225"/>
      <c r="D214" s="225"/>
      <c r="E214" s="225"/>
      <c r="F214" s="225"/>
      <c r="G214" s="225"/>
      <c r="H214" s="225"/>
      <c r="I214" s="225"/>
    </row>
    <row r="215" spans="2:9" s="222" customFormat="1" ht="12.75" x14ac:dyDescent="0.2">
      <c r="B215" s="225" t="s">
        <v>225</v>
      </c>
      <c r="C215" s="225"/>
      <c r="D215" s="225"/>
      <c r="E215" s="225"/>
      <c r="F215" s="225"/>
      <c r="G215" s="225"/>
      <c r="H215" s="225"/>
      <c r="I215" s="225"/>
    </row>
    <row r="216" spans="2:9" s="222" customFormat="1" ht="12.75" x14ac:dyDescent="0.2">
      <c r="B216" s="225" t="s">
        <v>157</v>
      </c>
      <c r="C216" s="225">
        <v>1</v>
      </c>
      <c r="D216" s="225">
        <v>1600</v>
      </c>
      <c r="E216" s="225">
        <f>D216*C216</f>
        <v>1600</v>
      </c>
      <c r="F216" s="225"/>
      <c r="G216" s="225"/>
      <c r="H216" s="225"/>
      <c r="I216" s="225"/>
    </row>
    <row r="217" spans="2:9" s="222" customFormat="1" ht="12.75" x14ac:dyDescent="0.2">
      <c r="B217" s="225" t="s">
        <v>101</v>
      </c>
      <c r="C217" s="225">
        <v>1</v>
      </c>
      <c r="D217" s="225">
        <f>+D201</f>
        <v>1160.1089999999999</v>
      </c>
      <c r="E217" s="225">
        <f t="shared" ref="E217" si="6">D217*C217</f>
        <v>1160.1089999999999</v>
      </c>
      <c r="F217" s="225"/>
      <c r="G217" s="225"/>
      <c r="H217" s="225"/>
      <c r="I217" s="225"/>
    </row>
    <row r="218" spans="2:9" s="222" customFormat="1" ht="12.75" x14ac:dyDescent="0.2">
      <c r="B218" s="225"/>
      <c r="C218" s="225"/>
      <c r="D218" s="225"/>
      <c r="E218" s="225">
        <f>SUM(E216:E217)</f>
        <v>2760.1089999999999</v>
      </c>
      <c r="F218" s="225" t="s">
        <v>233</v>
      </c>
      <c r="G218" s="225">
        <f>+E218/5.78</f>
        <v>477.527508650519</v>
      </c>
      <c r="H218" s="225" t="s">
        <v>229</v>
      </c>
      <c r="I218" s="225">
        <f>E218/(50*5.8)</f>
        <v>9.5176172413793108</v>
      </c>
    </row>
    <row r="219" spans="2:9" s="222" customFormat="1" ht="12.75" x14ac:dyDescent="0.2">
      <c r="B219" s="225"/>
      <c r="C219" s="225"/>
      <c r="D219" s="225"/>
      <c r="E219" s="225"/>
      <c r="F219" s="225"/>
      <c r="G219" s="225"/>
      <c r="H219" s="225"/>
      <c r="I219" s="225"/>
    </row>
    <row r="220" spans="2:9" s="222" customFormat="1" ht="22.5" x14ac:dyDescent="0.2">
      <c r="B220" s="225" t="s">
        <v>234</v>
      </c>
      <c r="C220" s="225">
        <v>10</v>
      </c>
      <c r="D220" s="225" t="s">
        <v>235</v>
      </c>
      <c r="E220" s="225">
        <f>+C188</f>
        <v>0</v>
      </c>
      <c r="F220" s="225"/>
      <c r="G220" s="225">
        <f>+(E220*C220/100)/5.79</f>
        <v>0</v>
      </c>
      <c r="H220" s="225" t="s">
        <v>229</v>
      </c>
      <c r="I220" s="225"/>
    </row>
    <row r="221" spans="2:9" s="222" customFormat="1" ht="12.75" x14ac:dyDescent="0.2">
      <c r="B221" s="225" t="s">
        <v>236</v>
      </c>
      <c r="C221" s="225">
        <v>1</v>
      </c>
      <c r="D221" s="225">
        <v>15000</v>
      </c>
      <c r="E221" s="225">
        <v>60</v>
      </c>
      <c r="F221" s="225" t="s">
        <v>237</v>
      </c>
      <c r="G221" s="225">
        <f>+(D221/60)/5.79</f>
        <v>43.177892918825599</v>
      </c>
      <c r="H221" s="225"/>
      <c r="I221" s="225"/>
    </row>
    <row r="222" spans="2:9" s="222" customFormat="1" ht="12.75" x14ac:dyDescent="0.2">
      <c r="B222" s="225"/>
      <c r="C222" s="225"/>
      <c r="D222" s="225"/>
      <c r="E222" s="225"/>
      <c r="F222" s="225"/>
      <c r="G222" s="225"/>
      <c r="H222" s="225"/>
      <c r="I222" s="225"/>
    </row>
    <row r="223" spans="2:9" s="222" customFormat="1" ht="12.75" x14ac:dyDescent="0.2">
      <c r="B223" s="225"/>
      <c r="C223" s="225"/>
      <c r="D223" s="225"/>
      <c r="E223" s="225" t="s">
        <v>238</v>
      </c>
      <c r="F223" s="225"/>
      <c r="G223" s="225">
        <f>SUM(G198:G221)</f>
        <v>1057.2023279693401</v>
      </c>
      <c r="H223" s="225" t="s">
        <v>239</v>
      </c>
      <c r="I223" s="225"/>
    </row>
    <row r="224" spans="2:9" s="222" customFormat="1" ht="12.75" x14ac:dyDescent="0.2">
      <c r="B224" s="225"/>
      <c r="C224" s="225"/>
      <c r="D224" s="225"/>
      <c r="E224" s="225"/>
      <c r="F224" s="225"/>
      <c r="G224" s="225"/>
      <c r="H224" s="225"/>
      <c r="I224" s="225"/>
    </row>
    <row r="225" spans="1:9" s="222" customFormat="1" ht="12.75" x14ac:dyDescent="0.2">
      <c r="B225" s="225" t="s">
        <v>240</v>
      </c>
      <c r="C225" s="225">
        <f>G223</f>
        <v>1057.2023279693401</v>
      </c>
      <c r="D225" s="225" t="s">
        <v>239</v>
      </c>
      <c r="E225" s="225">
        <v>5.8</v>
      </c>
      <c r="F225" s="225" t="s">
        <v>241</v>
      </c>
      <c r="G225" s="225">
        <f>C225/E225</f>
        <v>182.27626344299</v>
      </c>
      <c r="H225" s="225" t="s">
        <v>242</v>
      </c>
      <c r="I225" s="225"/>
    </row>
    <row r="226" spans="1:9" s="222" customFormat="1" ht="18" x14ac:dyDescent="0.25">
      <c r="B226" s="264"/>
      <c r="C226" s="264"/>
      <c r="D226" s="265"/>
      <c r="E226" s="264"/>
      <c r="F226" s="265"/>
      <c r="G226" s="266"/>
      <c r="H226" s="266"/>
    </row>
    <row r="227" spans="1:9" x14ac:dyDescent="0.2">
      <c r="A227" s="216">
        <v>4.2</v>
      </c>
      <c r="B227" s="217" t="s">
        <v>58</v>
      </c>
      <c r="C227" s="9">
        <v>9526.7999999999993</v>
      </c>
      <c r="D227" s="218" t="s">
        <v>12</v>
      </c>
      <c r="E227" s="2"/>
      <c r="F227" s="2"/>
      <c r="G227" s="2"/>
      <c r="I227" s="2"/>
    </row>
    <row r="228" spans="1:9" s="222" customFormat="1" ht="12.75" x14ac:dyDescent="0.2">
      <c r="B228" s="225"/>
      <c r="C228" s="225"/>
      <c r="D228" s="225"/>
      <c r="E228" s="225"/>
      <c r="F228" s="225"/>
      <c r="G228" s="225"/>
      <c r="H228" s="225"/>
      <c r="I228" s="225"/>
    </row>
    <row r="229" spans="1:9" s="222" customFormat="1" ht="12.75" x14ac:dyDescent="0.2">
      <c r="B229" s="225" t="s">
        <v>224</v>
      </c>
      <c r="C229" s="225"/>
      <c r="D229" s="225"/>
      <c r="E229" s="225"/>
      <c r="F229" s="225"/>
      <c r="G229" s="225"/>
      <c r="H229" s="225"/>
      <c r="I229" s="225"/>
    </row>
    <row r="230" spans="1:9" s="222" customFormat="1" ht="12.75" x14ac:dyDescent="0.2">
      <c r="B230" s="225"/>
      <c r="C230" s="225"/>
      <c r="D230" s="225"/>
      <c r="E230" s="225"/>
      <c r="F230" s="225"/>
      <c r="G230" s="225"/>
      <c r="H230" s="225"/>
      <c r="I230" s="225"/>
    </row>
    <row r="231" spans="1:9" s="222" customFormat="1" ht="12.75" x14ac:dyDescent="0.2">
      <c r="B231" s="225" t="s">
        <v>225</v>
      </c>
      <c r="C231" s="225"/>
      <c r="D231" s="225"/>
      <c r="E231" s="225"/>
      <c r="F231" s="225"/>
      <c r="G231" s="225"/>
      <c r="H231" s="225"/>
      <c r="I231" s="225"/>
    </row>
    <row r="232" spans="1:9" s="222" customFormat="1" ht="12.75" x14ac:dyDescent="0.2">
      <c r="B232" s="225" t="s">
        <v>189</v>
      </c>
      <c r="C232" s="225">
        <v>4</v>
      </c>
      <c r="D232" s="225">
        <f>859.34*1.35</f>
        <v>1160.1089999999999</v>
      </c>
      <c r="E232" s="225">
        <f>D232*C232</f>
        <v>4640.4359999999997</v>
      </c>
      <c r="F232" s="225"/>
      <c r="G232" s="225"/>
      <c r="H232" s="225"/>
      <c r="I232" s="225"/>
    </row>
    <row r="233" spans="1:9" s="222" customFormat="1" ht="12.75" x14ac:dyDescent="0.2">
      <c r="B233" s="225"/>
      <c r="C233" s="225"/>
      <c r="D233" s="225"/>
      <c r="E233" s="225"/>
      <c r="F233" s="225"/>
      <c r="G233" s="225"/>
      <c r="H233" s="225"/>
      <c r="I233" s="225"/>
    </row>
    <row r="234" spans="1:9" s="222" customFormat="1" ht="12.75" x14ac:dyDescent="0.2">
      <c r="B234" s="225" t="s">
        <v>192</v>
      </c>
      <c r="C234" s="225">
        <v>60</v>
      </c>
      <c r="D234" s="225" t="s">
        <v>226</v>
      </c>
      <c r="E234" s="225"/>
      <c r="F234" s="225"/>
      <c r="G234" s="225"/>
      <c r="H234" s="225"/>
      <c r="I234" s="225"/>
    </row>
    <row r="235" spans="1:9" s="222" customFormat="1" ht="12.75" x14ac:dyDescent="0.2">
      <c r="B235" s="225" t="s">
        <v>191</v>
      </c>
      <c r="C235" s="225">
        <v>0.03</v>
      </c>
      <c r="D235" s="225"/>
      <c r="E235" s="225"/>
      <c r="F235" s="225"/>
      <c r="G235" s="225"/>
      <c r="H235" s="225"/>
      <c r="I235" s="225"/>
    </row>
    <row r="236" spans="1:9" s="222" customFormat="1" ht="12.75" x14ac:dyDescent="0.2">
      <c r="B236" s="225" t="s">
        <v>194</v>
      </c>
      <c r="C236" s="225">
        <v>0.5</v>
      </c>
      <c r="D236" s="225"/>
      <c r="E236" s="225"/>
      <c r="F236" s="225"/>
      <c r="G236" s="225"/>
      <c r="H236" s="225"/>
      <c r="I236" s="225"/>
    </row>
    <row r="237" spans="1:9" s="222" customFormat="1" ht="12.75" x14ac:dyDescent="0.2">
      <c r="B237" s="225"/>
      <c r="C237" s="225"/>
      <c r="D237" s="225"/>
      <c r="E237" s="225"/>
      <c r="F237" s="225"/>
      <c r="G237" s="225"/>
      <c r="H237" s="225"/>
      <c r="I237" s="225"/>
    </row>
    <row r="238" spans="1:9" s="222" customFormat="1" ht="33.75" x14ac:dyDescent="0.2">
      <c r="B238" s="225" t="s">
        <v>227</v>
      </c>
      <c r="C238" s="225" t="s">
        <v>228</v>
      </c>
      <c r="D238" s="225"/>
      <c r="E238" s="225"/>
      <c r="F238" s="225"/>
      <c r="G238" s="225">
        <f>(1.03*E232)/(C234*C236)*2</f>
        <v>318.64327200000002</v>
      </c>
      <c r="H238" s="225" t="s">
        <v>229</v>
      </c>
      <c r="I238" s="225"/>
    </row>
    <row r="239" spans="1:9" s="222" customFormat="1" ht="12.75" x14ac:dyDescent="0.2">
      <c r="B239" s="225"/>
      <c r="C239" s="225"/>
      <c r="D239" s="225"/>
      <c r="E239" s="225"/>
      <c r="F239" s="225"/>
      <c r="G239" s="225"/>
      <c r="H239" s="225"/>
      <c r="I239" s="225"/>
    </row>
    <row r="240" spans="1:9" s="222" customFormat="1" ht="12.75" x14ac:dyDescent="0.2">
      <c r="B240" s="225" t="s">
        <v>230</v>
      </c>
      <c r="C240" s="225">
        <v>0.75</v>
      </c>
      <c r="D240" s="225" t="s">
        <v>231</v>
      </c>
      <c r="E240" s="225">
        <f>150*1.37</f>
        <v>205.5</v>
      </c>
      <c r="F240" s="225"/>
      <c r="G240" s="225">
        <f>+E240*C240</f>
        <v>154.125</v>
      </c>
      <c r="H240" s="225" t="s">
        <v>229</v>
      </c>
      <c r="I240" s="225"/>
    </row>
    <row r="241" spans="2:9" s="222" customFormat="1" ht="12.75" x14ac:dyDescent="0.2">
      <c r="B241" s="225"/>
      <c r="C241" s="225"/>
      <c r="D241" s="225"/>
      <c r="E241" s="225"/>
      <c r="F241" s="225"/>
      <c r="G241" s="225"/>
      <c r="H241" s="225"/>
      <c r="I241" s="225"/>
    </row>
    <row r="242" spans="2:9" s="222" customFormat="1" ht="12.75" x14ac:dyDescent="0.2">
      <c r="B242" s="225"/>
      <c r="C242" s="225"/>
      <c r="D242" s="225"/>
      <c r="E242" s="225"/>
      <c r="F242" s="225"/>
      <c r="G242" s="225"/>
      <c r="H242" s="225"/>
      <c r="I242" s="225"/>
    </row>
    <row r="243" spans="2:9" s="222" customFormat="1" ht="12.75" x14ac:dyDescent="0.2">
      <c r="B243" s="225"/>
      <c r="C243" s="225"/>
      <c r="D243" s="225"/>
      <c r="E243" s="225"/>
      <c r="F243" s="225"/>
      <c r="G243" s="225"/>
      <c r="H243" s="225"/>
      <c r="I243" s="225"/>
    </row>
    <row r="244" spans="2:9" s="222" customFormat="1" ht="12.75" x14ac:dyDescent="0.2">
      <c r="B244" s="225" t="s">
        <v>232</v>
      </c>
      <c r="C244" s="225"/>
      <c r="D244" s="225"/>
      <c r="E244" s="225"/>
      <c r="F244" s="225"/>
      <c r="G244" s="225"/>
      <c r="H244" s="225"/>
      <c r="I244" s="225"/>
    </row>
    <row r="245" spans="2:9" s="222" customFormat="1" ht="12.75" x14ac:dyDescent="0.2">
      <c r="B245" s="225"/>
      <c r="C245" s="225"/>
      <c r="D245" s="225"/>
      <c r="E245" s="225"/>
      <c r="F245" s="225"/>
      <c r="G245" s="225"/>
      <c r="H245" s="225"/>
      <c r="I245" s="225"/>
    </row>
    <row r="246" spans="2:9" s="222" customFormat="1" ht="12.75" x14ac:dyDescent="0.2">
      <c r="B246" s="225" t="s">
        <v>225</v>
      </c>
      <c r="C246" s="225"/>
      <c r="D246" s="225"/>
      <c r="E246" s="225"/>
      <c r="F246" s="225"/>
      <c r="G246" s="225"/>
      <c r="H246" s="225"/>
      <c r="I246" s="225"/>
    </row>
    <row r="247" spans="2:9" s="222" customFormat="1" ht="12.75" x14ac:dyDescent="0.2">
      <c r="B247" s="225" t="s">
        <v>157</v>
      </c>
      <c r="C247" s="225">
        <v>1</v>
      </c>
      <c r="D247" s="225">
        <v>1600</v>
      </c>
      <c r="E247" s="225">
        <f>D247*C247</f>
        <v>1600</v>
      </c>
      <c r="F247" s="225"/>
      <c r="G247" s="225"/>
      <c r="H247" s="225"/>
      <c r="I247" s="225"/>
    </row>
    <row r="248" spans="2:9" s="222" customFormat="1" ht="12.75" x14ac:dyDescent="0.2">
      <c r="B248" s="225" t="s">
        <v>101</v>
      </c>
      <c r="C248" s="225">
        <v>1</v>
      </c>
      <c r="D248" s="225">
        <f>+D232</f>
        <v>1160.1089999999999</v>
      </c>
      <c r="E248" s="225">
        <f t="shared" ref="E248" si="7">D248*C248</f>
        <v>1160.1089999999999</v>
      </c>
      <c r="F248" s="225"/>
      <c r="G248" s="225"/>
      <c r="H248" s="225"/>
      <c r="I248" s="225"/>
    </row>
    <row r="249" spans="2:9" s="222" customFormat="1" ht="12.75" x14ac:dyDescent="0.2">
      <c r="B249" s="225"/>
      <c r="C249" s="225"/>
      <c r="D249" s="225"/>
      <c r="E249" s="225">
        <f>SUM(E247:E248)</f>
        <v>2760.1089999999999</v>
      </c>
      <c r="F249" s="225" t="s">
        <v>233</v>
      </c>
      <c r="G249" s="225">
        <f>+E249/5.78</f>
        <v>477.527508650519</v>
      </c>
      <c r="H249" s="225" t="s">
        <v>229</v>
      </c>
      <c r="I249" s="225"/>
    </row>
    <row r="250" spans="2:9" s="222" customFormat="1" ht="12.75" x14ac:dyDescent="0.2">
      <c r="B250" s="225"/>
      <c r="C250" s="225"/>
      <c r="D250" s="225"/>
      <c r="E250" s="225"/>
      <c r="F250" s="225"/>
      <c r="G250" s="225"/>
      <c r="H250" s="225"/>
      <c r="I250" s="225"/>
    </row>
    <row r="251" spans="2:9" s="222" customFormat="1" ht="22.5" x14ac:dyDescent="0.2">
      <c r="B251" s="225" t="s">
        <v>234</v>
      </c>
      <c r="C251" s="225">
        <v>10</v>
      </c>
      <c r="D251" s="225" t="s">
        <v>235</v>
      </c>
      <c r="E251" s="225">
        <f>+C219</f>
        <v>0</v>
      </c>
      <c r="F251" s="225"/>
      <c r="G251" s="225">
        <f>+(E251*C251/100)/5.79</f>
        <v>0</v>
      </c>
      <c r="H251" s="225" t="s">
        <v>229</v>
      </c>
      <c r="I251" s="225"/>
    </row>
    <row r="252" spans="2:9" s="222" customFormat="1" ht="12.75" x14ac:dyDescent="0.2">
      <c r="B252" s="225" t="s">
        <v>236</v>
      </c>
      <c r="C252" s="225">
        <v>1</v>
      </c>
      <c r="D252" s="225">
        <v>15000</v>
      </c>
      <c r="E252" s="225">
        <v>60</v>
      </c>
      <c r="F252" s="225" t="s">
        <v>237</v>
      </c>
      <c r="G252" s="225">
        <f>+(D252/60)/5.79</f>
        <v>43.177892918825599</v>
      </c>
      <c r="H252" s="225"/>
      <c r="I252" s="225"/>
    </row>
    <row r="253" spans="2:9" s="222" customFormat="1" ht="12.75" x14ac:dyDescent="0.2">
      <c r="B253" s="225"/>
      <c r="C253" s="225"/>
      <c r="D253" s="225"/>
      <c r="E253" s="225"/>
      <c r="F253" s="225"/>
      <c r="G253" s="225"/>
      <c r="H253" s="225"/>
      <c r="I253" s="225"/>
    </row>
    <row r="254" spans="2:9" s="222" customFormat="1" ht="12.75" x14ac:dyDescent="0.2">
      <c r="B254" s="225"/>
      <c r="C254" s="225"/>
      <c r="D254" s="225"/>
      <c r="E254" s="225" t="s">
        <v>238</v>
      </c>
      <c r="F254" s="225"/>
      <c r="G254" s="225">
        <f>SUM(G229:G252)</f>
        <v>993.47367356934501</v>
      </c>
      <c r="H254" s="225" t="s">
        <v>239</v>
      </c>
      <c r="I254" s="225"/>
    </row>
    <row r="255" spans="2:9" s="222" customFormat="1" ht="12.75" x14ac:dyDescent="0.2">
      <c r="B255" s="225"/>
      <c r="C255" s="225"/>
      <c r="D255" s="225"/>
      <c r="E255" s="225"/>
      <c r="F255" s="225"/>
      <c r="G255" s="225"/>
      <c r="H255" s="225"/>
      <c r="I255" s="225"/>
    </row>
    <row r="256" spans="2:9" s="222" customFormat="1" ht="12.75" x14ac:dyDescent="0.2">
      <c r="B256" s="225" t="s">
        <v>240</v>
      </c>
      <c r="C256" s="225">
        <f>G254</f>
        <v>993.47367356934501</v>
      </c>
      <c r="D256" s="225" t="s">
        <v>239</v>
      </c>
      <c r="E256" s="225">
        <v>5.8</v>
      </c>
      <c r="F256" s="225" t="s">
        <v>241</v>
      </c>
      <c r="G256" s="225">
        <f>C256/E256</f>
        <v>171.28856440850799</v>
      </c>
      <c r="H256" s="225" t="s">
        <v>242</v>
      </c>
      <c r="I256" s="225"/>
    </row>
    <row r="257" spans="1:9" s="222" customFormat="1" ht="18" x14ac:dyDescent="0.25">
      <c r="B257" s="264"/>
      <c r="C257" s="264"/>
      <c r="D257" s="265"/>
      <c r="E257" s="264"/>
      <c r="F257" s="265"/>
      <c r="G257" s="266"/>
      <c r="H257" s="266"/>
    </row>
    <row r="258" spans="1:9" x14ac:dyDescent="0.2">
      <c r="A258" s="216"/>
      <c r="B258" s="217"/>
      <c r="C258" s="9"/>
      <c r="D258" s="218"/>
      <c r="E258" s="2"/>
      <c r="F258" s="2"/>
      <c r="I258" s="2"/>
    </row>
    <row r="259" spans="1:9" s="7" customFormat="1" ht="30" x14ac:dyDescent="0.2">
      <c r="A259" s="267">
        <v>5</v>
      </c>
      <c r="B259" s="268" t="s">
        <v>31</v>
      </c>
      <c r="C259" s="269"/>
      <c r="D259" s="270"/>
      <c r="E259" s="6"/>
      <c r="F259" s="6"/>
      <c r="I259" s="6"/>
    </row>
    <row r="260" spans="1:9" s="7" customFormat="1" x14ac:dyDescent="0.2">
      <c r="A260" s="271">
        <f>0.1+A259</f>
        <v>5.0999999999999996</v>
      </c>
      <c r="B260" s="272" t="s">
        <v>33</v>
      </c>
      <c r="C260" s="273">
        <v>1</v>
      </c>
      <c r="D260" s="270" t="s">
        <v>32</v>
      </c>
      <c r="E260" s="6"/>
      <c r="F260" s="6"/>
      <c r="I260" s="6"/>
    </row>
    <row r="261" spans="1:9" s="263" customFormat="1" x14ac:dyDescent="0.2">
      <c r="A261" s="259"/>
      <c r="B261" s="260"/>
      <c r="C261" s="261"/>
      <c r="D261" s="262"/>
    </row>
    <row r="262" spans="1:9" s="263" customFormat="1" x14ac:dyDescent="0.2">
      <c r="A262" s="259"/>
      <c r="B262" s="260" t="s">
        <v>219</v>
      </c>
      <c r="C262" s="262" t="s">
        <v>220</v>
      </c>
      <c r="D262" s="262" t="s">
        <v>221</v>
      </c>
      <c r="E262" s="274" t="s">
        <v>222</v>
      </c>
    </row>
    <row r="263" spans="1:9" s="222" customFormat="1" ht="12.75" x14ac:dyDescent="0.2">
      <c r="B263" s="237" t="s">
        <v>33</v>
      </c>
      <c r="C263" s="225">
        <v>356.4</v>
      </c>
      <c r="D263" s="225">
        <f>C263*0.18</f>
        <v>64.152000000000001</v>
      </c>
      <c r="E263" s="225">
        <f>D263+C263</f>
        <v>420.55200000000002</v>
      </c>
      <c r="F263" s="275"/>
    </row>
    <row r="264" spans="1:9" s="222" customFormat="1" ht="12.75" x14ac:dyDescent="0.2">
      <c r="B264" s="237" t="s">
        <v>243</v>
      </c>
      <c r="C264" s="237">
        <v>45</v>
      </c>
      <c r="D264" s="225"/>
      <c r="E264" s="225">
        <f>+C264</f>
        <v>45</v>
      </c>
      <c r="F264" s="225"/>
    </row>
    <row r="265" spans="1:9" s="251" customFormat="1" ht="12.75" x14ac:dyDescent="0.2">
      <c r="A265" s="276"/>
      <c r="B265" s="276"/>
      <c r="C265" s="277"/>
      <c r="D265" s="278"/>
      <c r="E265" s="279">
        <f>SUM(E263:E264)</f>
        <v>465.55</v>
      </c>
      <c r="F265" s="250"/>
    </row>
    <row r="266" spans="1:9" s="251" customFormat="1" ht="12.75" x14ac:dyDescent="0.2">
      <c r="A266" s="276"/>
      <c r="B266" s="276"/>
      <c r="C266" s="277"/>
      <c r="D266" s="278"/>
      <c r="E266" s="279"/>
      <c r="F266" s="250"/>
    </row>
    <row r="267" spans="1:9" s="7" customFormat="1" x14ac:dyDescent="0.2">
      <c r="A267" s="271">
        <f>0.1+A260</f>
        <v>5.2</v>
      </c>
      <c r="B267" s="272" t="s">
        <v>34</v>
      </c>
      <c r="C267" s="273">
        <v>13</v>
      </c>
      <c r="D267" s="270" t="s">
        <v>32</v>
      </c>
      <c r="E267" s="6"/>
      <c r="F267" s="6"/>
      <c r="I267" s="6"/>
    </row>
    <row r="268" spans="1:9" s="263" customFormat="1" x14ac:dyDescent="0.2">
      <c r="A268" s="259"/>
      <c r="B268" s="260"/>
      <c r="C268" s="261"/>
      <c r="D268" s="262"/>
    </row>
    <row r="269" spans="1:9" s="263" customFormat="1" x14ac:dyDescent="0.2">
      <c r="A269" s="259"/>
      <c r="B269" s="260" t="s">
        <v>219</v>
      </c>
      <c r="C269" s="262" t="s">
        <v>220</v>
      </c>
      <c r="D269" s="262" t="s">
        <v>221</v>
      </c>
      <c r="E269" s="274" t="s">
        <v>222</v>
      </c>
    </row>
    <row r="270" spans="1:9" s="222" customFormat="1" ht="12.75" x14ac:dyDescent="0.2">
      <c r="B270" s="237" t="s">
        <v>245</v>
      </c>
      <c r="C270" s="225">
        <v>345</v>
      </c>
      <c r="D270" s="225">
        <f>C270*0.18</f>
        <v>62.1</v>
      </c>
      <c r="E270" s="225">
        <f>D270+C270</f>
        <v>407.1</v>
      </c>
      <c r="F270" s="275"/>
    </row>
    <row r="271" spans="1:9" s="222" customFormat="1" ht="12.75" x14ac:dyDescent="0.2">
      <c r="B271" s="237" t="s">
        <v>243</v>
      </c>
      <c r="C271" s="237">
        <v>45</v>
      </c>
      <c r="D271" s="225"/>
      <c r="E271" s="225">
        <f>+C271</f>
        <v>45</v>
      </c>
      <c r="F271" s="225"/>
    </row>
    <row r="272" spans="1:9" s="251" customFormat="1" ht="12.75" x14ac:dyDescent="0.2">
      <c r="A272" s="276"/>
      <c r="B272" s="276"/>
      <c r="C272" s="277"/>
      <c r="D272" s="278"/>
      <c r="E272" s="279">
        <f>SUM(E270:E271)</f>
        <v>452.1</v>
      </c>
      <c r="F272" s="250"/>
    </row>
    <row r="273" spans="1:9" s="251" customFormat="1" ht="12.75" x14ac:dyDescent="0.2">
      <c r="A273" s="276"/>
      <c r="B273" s="276"/>
      <c r="C273" s="277"/>
      <c r="D273" s="278"/>
      <c r="E273" s="279"/>
      <c r="F273" s="250"/>
    </row>
    <row r="274" spans="1:9" x14ac:dyDescent="0.2">
      <c r="A274" s="271">
        <f>0.1+A267</f>
        <v>5.3</v>
      </c>
      <c r="B274" s="272" t="s">
        <v>35</v>
      </c>
      <c r="C274" s="280">
        <v>4</v>
      </c>
      <c r="D274" s="223" t="s">
        <v>32</v>
      </c>
      <c r="E274" s="2"/>
      <c r="F274" s="2"/>
      <c r="I274" s="2"/>
    </row>
    <row r="275" spans="1:9" s="263" customFormat="1" x14ac:dyDescent="0.2">
      <c r="A275" s="259"/>
      <c r="B275" s="260"/>
      <c r="C275" s="261"/>
      <c r="D275" s="262"/>
    </row>
    <row r="276" spans="1:9" s="263" customFormat="1" x14ac:dyDescent="0.2">
      <c r="A276" s="259"/>
      <c r="B276" s="260" t="s">
        <v>219</v>
      </c>
      <c r="C276" s="262" t="s">
        <v>220</v>
      </c>
      <c r="D276" s="262" t="s">
        <v>221</v>
      </c>
      <c r="E276" s="274" t="s">
        <v>222</v>
      </c>
    </row>
    <row r="277" spans="1:9" s="222" customFormat="1" ht="12.75" x14ac:dyDescent="0.2">
      <c r="B277" s="237" t="s">
        <v>244</v>
      </c>
      <c r="C277" s="225">
        <v>185</v>
      </c>
      <c r="D277" s="225">
        <f>C277*0.18</f>
        <v>33.299999999999997</v>
      </c>
      <c r="E277" s="225">
        <f>D277+C277</f>
        <v>218.3</v>
      </c>
      <c r="F277" s="275"/>
    </row>
    <row r="278" spans="1:9" s="222" customFormat="1" ht="12.75" x14ac:dyDescent="0.2">
      <c r="B278" s="237" t="s">
        <v>243</v>
      </c>
      <c r="C278" s="237">
        <v>45</v>
      </c>
      <c r="D278" s="225"/>
      <c r="E278" s="225">
        <f>+C278</f>
        <v>45</v>
      </c>
      <c r="F278" s="225"/>
    </row>
    <row r="279" spans="1:9" s="251" customFormat="1" ht="12.75" x14ac:dyDescent="0.2">
      <c r="A279" s="276"/>
      <c r="B279" s="276"/>
      <c r="C279" s="277"/>
      <c r="D279" s="278"/>
      <c r="E279" s="279">
        <f>SUM(E277:E278)</f>
        <v>263.3</v>
      </c>
      <c r="F279" s="250"/>
    </row>
    <row r="280" spans="1:9" s="251" customFormat="1" ht="12.75" x14ac:dyDescent="0.2">
      <c r="A280" s="276"/>
      <c r="B280" s="276"/>
      <c r="C280" s="277"/>
      <c r="D280" s="278"/>
      <c r="E280" s="279"/>
      <c r="F280" s="250"/>
    </row>
    <row r="281" spans="1:9" x14ac:dyDescent="0.2">
      <c r="A281" s="271">
        <f>0.1+A274</f>
        <v>5.4</v>
      </c>
      <c r="B281" s="272" t="s">
        <v>36</v>
      </c>
      <c r="C281" s="280">
        <v>36</v>
      </c>
      <c r="D281" s="223" t="s">
        <v>32</v>
      </c>
      <c r="E281" s="2"/>
      <c r="F281" s="2"/>
      <c r="I281" s="2"/>
    </row>
    <row r="282" spans="1:9" s="263" customFormat="1" x14ac:dyDescent="0.2">
      <c r="A282" s="259"/>
      <c r="B282" s="260"/>
      <c r="C282" s="261"/>
      <c r="D282" s="262"/>
    </row>
    <row r="283" spans="1:9" s="263" customFormat="1" x14ac:dyDescent="0.2">
      <c r="A283" s="259"/>
      <c r="B283" s="260" t="s">
        <v>219</v>
      </c>
      <c r="C283" s="262" t="s">
        <v>220</v>
      </c>
      <c r="D283" s="262" t="s">
        <v>221</v>
      </c>
      <c r="E283" s="274" t="s">
        <v>222</v>
      </c>
    </row>
    <row r="284" spans="1:9" s="222" customFormat="1" ht="12.75" x14ac:dyDescent="0.2">
      <c r="B284" s="237" t="s">
        <v>244</v>
      </c>
      <c r="C284" s="225">
        <v>175</v>
      </c>
      <c r="D284" s="225">
        <f>C284*0.18</f>
        <v>31.5</v>
      </c>
      <c r="E284" s="225">
        <f>D284+C284</f>
        <v>206.5</v>
      </c>
      <c r="F284" s="275"/>
    </row>
    <row r="285" spans="1:9" s="222" customFormat="1" ht="12.75" x14ac:dyDescent="0.2">
      <c r="B285" s="237" t="s">
        <v>243</v>
      </c>
      <c r="C285" s="237">
        <v>45</v>
      </c>
      <c r="D285" s="225"/>
      <c r="E285" s="225">
        <f>+C285</f>
        <v>45</v>
      </c>
      <c r="F285" s="225"/>
    </row>
    <row r="286" spans="1:9" s="251" customFormat="1" ht="12.75" x14ac:dyDescent="0.2">
      <c r="A286" s="276"/>
      <c r="B286" s="276"/>
      <c r="C286" s="277"/>
      <c r="D286" s="278"/>
      <c r="E286" s="279">
        <f>SUM(E284:E285)</f>
        <v>251.5</v>
      </c>
      <c r="F286" s="250"/>
    </row>
    <row r="287" spans="1:9" s="251" customFormat="1" ht="12.75" x14ac:dyDescent="0.2">
      <c r="A287" s="276"/>
      <c r="B287" s="276"/>
      <c r="C287" s="277"/>
      <c r="D287" s="278"/>
      <c r="E287" s="279"/>
      <c r="F287" s="250"/>
    </row>
    <row r="288" spans="1:9" x14ac:dyDescent="0.2">
      <c r="A288" s="271">
        <f>0.1+A281</f>
        <v>5.5</v>
      </c>
      <c r="B288" s="272" t="s">
        <v>37</v>
      </c>
      <c r="C288" s="281">
        <v>38</v>
      </c>
      <c r="D288" s="223" t="s">
        <v>32</v>
      </c>
      <c r="E288" s="2"/>
      <c r="F288" s="2"/>
      <c r="I288" s="2"/>
    </row>
    <row r="289" spans="1:9" s="263" customFormat="1" x14ac:dyDescent="0.2">
      <c r="A289" s="259"/>
      <c r="B289" s="260"/>
      <c r="C289" s="261"/>
      <c r="D289" s="262"/>
    </row>
    <row r="290" spans="1:9" s="263" customFormat="1" x14ac:dyDescent="0.2">
      <c r="A290" s="259"/>
      <c r="B290" s="260" t="s">
        <v>219</v>
      </c>
      <c r="C290" s="262" t="s">
        <v>220</v>
      </c>
      <c r="D290" s="262" t="s">
        <v>221</v>
      </c>
      <c r="E290" s="274" t="s">
        <v>222</v>
      </c>
    </row>
    <row r="291" spans="1:9" s="222" customFormat="1" ht="12.75" x14ac:dyDescent="0.2">
      <c r="B291" s="237" t="s">
        <v>244</v>
      </c>
      <c r="C291" s="225">
        <v>435.23</v>
      </c>
      <c r="D291" s="225">
        <f>C291*0.18</f>
        <v>78.341399999999993</v>
      </c>
      <c r="E291" s="225">
        <f>D291+C291</f>
        <v>513.57140000000004</v>
      </c>
      <c r="F291" s="275"/>
    </row>
    <row r="292" spans="1:9" s="222" customFormat="1" ht="12.75" x14ac:dyDescent="0.2">
      <c r="B292" s="237" t="s">
        <v>243</v>
      </c>
      <c r="C292" s="237">
        <v>45</v>
      </c>
      <c r="D292" s="225"/>
      <c r="E292" s="225">
        <f>+C292</f>
        <v>45</v>
      </c>
      <c r="F292" s="225"/>
    </row>
    <row r="293" spans="1:9" s="251" customFormat="1" ht="12.75" x14ac:dyDescent="0.2">
      <c r="A293" s="276"/>
      <c r="B293" s="276"/>
      <c r="C293" s="277"/>
      <c r="D293" s="278"/>
      <c r="E293" s="279">
        <f>SUM(E291:E292)</f>
        <v>558.57000000000005</v>
      </c>
      <c r="F293" s="250"/>
    </row>
    <row r="294" spans="1:9" s="251" customFormat="1" ht="12.75" x14ac:dyDescent="0.2">
      <c r="A294" s="276"/>
      <c r="B294" s="276"/>
      <c r="C294" s="277"/>
      <c r="D294" s="278"/>
      <c r="E294" s="279"/>
      <c r="F294" s="250"/>
    </row>
    <row r="295" spans="1:9" x14ac:dyDescent="0.2">
      <c r="A295" s="271">
        <f>0.1+A288</f>
        <v>5.6</v>
      </c>
      <c r="B295" s="272" t="s">
        <v>38</v>
      </c>
      <c r="C295" s="281">
        <v>26</v>
      </c>
      <c r="D295" s="223" t="s">
        <v>32</v>
      </c>
      <c r="E295" s="2"/>
      <c r="F295" s="2"/>
      <c r="I295" s="2"/>
    </row>
    <row r="296" spans="1:9" s="263" customFormat="1" x14ac:dyDescent="0.2">
      <c r="A296" s="259"/>
      <c r="B296" s="260"/>
      <c r="C296" s="261"/>
      <c r="D296" s="262"/>
    </row>
    <row r="297" spans="1:9" s="263" customFormat="1" x14ac:dyDescent="0.2">
      <c r="A297" s="259"/>
      <c r="B297" s="260" t="s">
        <v>219</v>
      </c>
      <c r="C297" s="262" t="s">
        <v>220</v>
      </c>
      <c r="D297" s="262" t="s">
        <v>221</v>
      </c>
      <c r="E297" s="274" t="s">
        <v>222</v>
      </c>
    </row>
    <row r="298" spans="1:9" s="222" customFormat="1" ht="12.75" x14ac:dyDescent="0.2">
      <c r="B298" s="237" t="s">
        <v>244</v>
      </c>
      <c r="C298" s="225">
        <v>380</v>
      </c>
      <c r="D298" s="225">
        <f>C298*0.18</f>
        <v>68.400000000000006</v>
      </c>
      <c r="E298" s="225">
        <f>D298+C298</f>
        <v>448.4</v>
      </c>
      <c r="F298" s="275"/>
    </row>
    <row r="299" spans="1:9" s="222" customFormat="1" ht="12.75" x14ac:dyDescent="0.2">
      <c r="B299" s="237" t="s">
        <v>243</v>
      </c>
      <c r="C299" s="237">
        <v>45</v>
      </c>
      <c r="D299" s="225"/>
      <c r="E299" s="225">
        <f>+C299</f>
        <v>45</v>
      </c>
      <c r="F299" s="225"/>
    </row>
    <row r="300" spans="1:9" s="251" customFormat="1" ht="12.75" x14ac:dyDescent="0.2">
      <c r="A300" s="276"/>
      <c r="B300" s="276"/>
      <c r="C300" s="277"/>
      <c r="D300" s="278"/>
      <c r="E300" s="279">
        <f>SUM(E298:E299)</f>
        <v>493.4</v>
      </c>
      <c r="F300" s="250"/>
    </row>
    <row r="301" spans="1:9" s="251" customFormat="1" ht="12.75" x14ac:dyDescent="0.2">
      <c r="A301" s="276"/>
      <c r="B301" s="276"/>
      <c r="C301" s="277"/>
      <c r="D301" s="278"/>
      <c r="E301" s="279"/>
      <c r="F301" s="250"/>
    </row>
    <row r="302" spans="1:9" x14ac:dyDescent="0.2">
      <c r="A302" s="271">
        <f>0.1+A295</f>
        <v>5.7</v>
      </c>
      <c r="B302" s="272" t="s">
        <v>39</v>
      </c>
      <c r="C302" s="281">
        <v>4</v>
      </c>
      <c r="D302" s="223" t="s">
        <v>32</v>
      </c>
      <c r="E302" s="2"/>
      <c r="F302" s="2"/>
      <c r="I302" s="2"/>
    </row>
    <row r="303" spans="1:9" s="263" customFormat="1" x14ac:dyDescent="0.2">
      <c r="A303" s="259"/>
      <c r="B303" s="260"/>
      <c r="C303" s="261"/>
      <c r="D303" s="262"/>
    </row>
    <row r="304" spans="1:9" s="263" customFormat="1" x14ac:dyDescent="0.2">
      <c r="A304" s="259"/>
      <c r="B304" s="260" t="s">
        <v>219</v>
      </c>
      <c r="C304" s="262" t="s">
        <v>220</v>
      </c>
      <c r="D304" s="262" t="s">
        <v>221</v>
      </c>
      <c r="E304" s="274" t="s">
        <v>222</v>
      </c>
    </row>
    <row r="305" spans="1:9" s="222" customFormat="1" ht="12.75" x14ac:dyDescent="0.2">
      <c r="B305" s="237" t="s">
        <v>244</v>
      </c>
      <c r="C305" s="225">
        <v>405.3</v>
      </c>
      <c r="D305" s="225">
        <f>C305*0.18</f>
        <v>72.953999999999994</v>
      </c>
      <c r="E305" s="225">
        <f>D305+C305</f>
        <v>478.25400000000002</v>
      </c>
      <c r="F305" s="275"/>
    </row>
    <row r="306" spans="1:9" s="222" customFormat="1" ht="12.75" x14ac:dyDescent="0.2">
      <c r="B306" s="237" t="s">
        <v>243</v>
      </c>
      <c r="C306" s="237">
        <v>45</v>
      </c>
      <c r="D306" s="225"/>
      <c r="E306" s="225">
        <f>+C306</f>
        <v>45</v>
      </c>
      <c r="F306" s="225"/>
    </row>
    <row r="307" spans="1:9" s="251" customFormat="1" ht="12.75" x14ac:dyDescent="0.2">
      <c r="A307" s="276"/>
      <c r="B307" s="276"/>
      <c r="C307" s="277"/>
      <c r="D307" s="278"/>
      <c r="E307" s="279">
        <f>SUM(E305:E306)</f>
        <v>523.25</v>
      </c>
      <c r="F307" s="250"/>
    </row>
    <row r="308" spans="1:9" s="251" customFormat="1" ht="12.75" x14ac:dyDescent="0.2">
      <c r="A308" s="276"/>
      <c r="B308" s="276"/>
      <c r="C308" s="277"/>
      <c r="D308" s="278"/>
      <c r="E308" s="279"/>
      <c r="F308" s="250"/>
    </row>
    <row r="309" spans="1:9" x14ac:dyDescent="0.2">
      <c r="A309" s="271">
        <f>0.1+A302</f>
        <v>5.8</v>
      </c>
      <c r="B309" s="272" t="s">
        <v>40</v>
      </c>
      <c r="C309" s="281">
        <v>3</v>
      </c>
      <c r="D309" s="223" t="s">
        <v>32</v>
      </c>
      <c r="E309" s="2"/>
      <c r="F309" s="2"/>
      <c r="I309" s="2"/>
    </row>
    <row r="310" spans="1:9" s="263" customFormat="1" x14ac:dyDescent="0.2">
      <c r="A310" s="259"/>
      <c r="B310" s="260"/>
      <c r="C310" s="261"/>
      <c r="D310" s="262"/>
    </row>
    <row r="311" spans="1:9" s="263" customFormat="1" x14ac:dyDescent="0.2">
      <c r="A311" s="259"/>
      <c r="B311" s="260" t="s">
        <v>219</v>
      </c>
      <c r="C311" s="262" t="s">
        <v>220</v>
      </c>
      <c r="D311" s="262" t="s">
        <v>221</v>
      </c>
      <c r="E311" s="274" t="s">
        <v>222</v>
      </c>
    </row>
    <row r="312" spans="1:9" s="222" customFormat="1" ht="12.75" x14ac:dyDescent="0.2">
      <c r="B312" s="237" t="s">
        <v>244</v>
      </c>
      <c r="C312" s="225">
        <v>165</v>
      </c>
      <c r="D312" s="225">
        <f>C312*0.18</f>
        <v>29.7</v>
      </c>
      <c r="E312" s="225">
        <f>D312+C312</f>
        <v>194.7</v>
      </c>
      <c r="F312" s="275"/>
    </row>
    <row r="313" spans="1:9" s="222" customFormat="1" ht="12.75" x14ac:dyDescent="0.2">
      <c r="B313" s="237" t="s">
        <v>243</v>
      </c>
      <c r="C313" s="237">
        <v>45</v>
      </c>
      <c r="D313" s="225"/>
      <c r="E313" s="225">
        <f>+C313</f>
        <v>45</v>
      </c>
      <c r="F313" s="225"/>
    </row>
    <row r="314" spans="1:9" s="251" customFormat="1" ht="12.75" x14ac:dyDescent="0.2">
      <c r="A314" s="276"/>
      <c r="B314" s="276"/>
      <c r="C314" s="277"/>
      <c r="D314" s="278"/>
      <c r="E314" s="279">
        <f>SUM(E312:E313)</f>
        <v>239.7</v>
      </c>
      <c r="F314" s="250"/>
    </row>
    <row r="315" spans="1:9" s="251" customFormat="1" ht="12.75" x14ac:dyDescent="0.2">
      <c r="A315" s="276"/>
      <c r="B315" s="276"/>
      <c r="C315" s="277"/>
      <c r="D315" s="278"/>
      <c r="E315" s="279"/>
      <c r="F315" s="250"/>
    </row>
    <row r="316" spans="1:9" x14ac:dyDescent="0.2">
      <c r="A316" s="271">
        <f t="shared" ref="A316" si="8">0.1+A309</f>
        <v>5.9</v>
      </c>
      <c r="B316" s="272" t="s">
        <v>50</v>
      </c>
      <c r="C316" s="280">
        <v>1</v>
      </c>
      <c r="D316" s="223" t="s">
        <v>32</v>
      </c>
      <c r="E316" s="2"/>
      <c r="F316" s="2"/>
      <c r="I316" s="2"/>
    </row>
    <row r="317" spans="1:9" s="263" customFormat="1" x14ac:dyDescent="0.2">
      <c r="A317" s="259"/>
      <c r="B317" s="260"/>
      <c r="C317" s="261"/>
      <c r="D317" s="262"/>
    </row>
    <row r="318" spans="1:9" s="263" customFormat="1" x14ac:dyDescent="0.2">
      <c r="A318" s="259"/>
      <c r="B318" s="260" t="s">
        <v>219</v>
      </c>
      <c r="C318" s="262" t="s">
        <v>220</v>
      </c>
      <c r="D318" s="262" t="s">
        <v>221</v>
      </c>
      <c r="E318" s="274" t="s">
        <v>222</v>
      </c>
    </row>
    <row r="319" spans="1:9" s="222" customFormat="1" ht="12.75" x14ac:dyDescent="0.2">
      <c r="B319" s="237" t="s">
        <v>244</v>
      </c>
      <c r="C319" s="225">
        <v>755</v>
      </c>
      <c r="D319" s="225">
        <f>C319*0.18</f>
        <v>135.9</v>
      </c>
      <c r="E319" s="225">
        <f>D319+C319</f>
        <v>890.9</v>
      </c>
      <c r="F319" s="275"/>
    </row>
    <row r="320" spans="1:9" s="222" customFormat="1" ht="12.75" x14ac:dyDescent="0.2">
      <c r="B320" s="237" t="s">
        <v>243</v>
      </c>
      <c r="C320" s="237">
        <v>78.319999999999993</v>
      </c>
      <c r="D320" s="225"/>
      <c r="E320" s="225">
        <f>+C320</f>
        <v>78.319999999999993</v>
      </c>
      <c r="F320" s="225"/>
    </row>
    <row r="321" spans="1:9" s="251" customFormat="1" ht="12.75" x14ac:dyDescent="0.2">
      <c r="A321" s="276"/>
      <c r="B321" s="276"/>
      <c r="C321" s="277"/>
      <c r="D321" s="278"/>
      <c r="E321" s="279">
        <f>SUM(E319:E320)</f>
        <v>969.22</v>
      </c>
      <c r="F321" s="250"/>
    </row>
    <row r="322" spans="1:9" s="251" customFormat="1" ht="12.75" x14ac:dyDescent="0.2">
      <c r="A322" s="276"/>
      <c r="B322" s="276"/>
      <c r="C322" s="277"/>
      <c r="D322" s="278"/>
      <c r="E322" s="279"/>
      <c r="F322" s="250"/>
    </row>
    <row r="323" spans="1:9" x14ac:dyDescent="0.2">
      <c r="A323" s="282">
        <v>5.0999999999999996</v>
      </c>
      <c r="B323" s="272" t="s">
        <v>41</v>
      </c>
      <c r="C323" s="280">
        <v>1</v>
      </c>
      <c r="D323" s="223" t="s">
        <v>32</v>
      </c>
      <c r="E323" s="2"/>
      <c r="F323" s="2"/>
      <c r="I323" s="2"/>
    </row>
    <row r="324" spans="1:9" s="263" customFormat="1" x14ac:dyDescent="0.2">
      <c r="A324" s="259"/>
      <c r="B324" s="260"/>
      <c r="C324" s="261"/>
      <c r="D324" s="262"/>
    </row>
    <row r="325" spans="1:9" s="263" customFormat="1" x14ac:dyDescent="0.2">
      <c r="A325" s="259"/>
      <c r="B325" s="260" t="s">
        <v>219</v>
      </c>
      <c r="C325" s="262" t="s">
        <v>220</v>
      </c>
      <c r="D325" s="262" t="s">
        <v>221</v>
      </c>
      <c r="E325" s="274" t="s">
        <v>222</v>
      </c>
    </row>
    <row r="326" spans="1:9" s="222" customFormat="1" ht="12.75" x14ac:dyDescent="0.2">
      <c r="B326" s="237" t="s">
        <v>244</v>
      </c>
      <c r="C326" s="225">
        <v>660</v>
      </c>
      <c r="D326" s="225">
        <f>C326*0.18</f>
        <v>118.8</v>
      </c>
      <c r="E326" s="225">
        <f>D326+C326</f>
        <v>778.8</v>
      </c>
      <c r="F326" s="275"/>
    </row>
    <row r="327" spans="1:9" s="222" customFormat="1" ht="12.75" x14ac:dyDescent="0.2">
      <c r="B327" s="237" t="s">
        <v>243</v>
      </c>
      <c r="C327" s="237">
        <v>65.22</v>
      </c>
      <c r="D327" s="225"/>
      <c r="E327" s="225">
        <f>+C327</f>
        <v>65.22</v>
      </c>
      <c r="F327" s="225"/>
    </row>
    <row r="328" spans="1:9" s="251" customFormat="1" ht="12.75" x14ac:dyDescent="0.2">
      <c r="A328" s="276"/>
      <c r="B328" s="276"/>
      <c r="C328" s="277"/>
      <c r="D328" s="278"/>
      <c r="E328" s="279">
        <f>SUM(E326:E327)</f>
        <v>844.02</v>
      </c>
      <c r="F328" s="250"/>
    </row>
    <row r="329" spans="1:9" s="251" customFormat="1" ht="12.75" x14ac:dyDescent="0.2">
      <c r="A329" s="276"/>
      <c r="B329" s="276"/>
      <c r="C329" s="277"/>
      <c r="D329" s="278"/>
      <c r="E329" s="279"/>
      <c r="F329" s="250"/>
    </row>
    <row r="330" spans="1:9" x14ac:dyDescent="0.2">
      <c r="A330" s="282">
        <f>0.01+A323</f>
        <v>5.1100000000000003</v>
      </c>
      <c r="B330" s="272" t="s">
        <v>42</v>
      </c>
      <c r="C330" s="280">
        <v>33</v>
      </c>
      <c r="D330" s="223" t="s">
        <v>32</v>
      </c>
      <c r="E330" s="2"/>
      <c r="F330" s="2"/>
      <c r="I330" s="2"/>
    </row>
    <row r="331" spans="1:9" s="263" customFormat="1" x14ac:dyDescent="0.2">
      <c r="A331" s="259"/>
      <c r="B331" s="260"/>
      <c r="C331" s="261"/>
      <c r="D331" s="262"/>
    </row>
    <row r="332" spans="1:9" s="263" customFormat="1" x14ac:dyDescent="0.2">
      <c r="A332" s="259"/>
      <c r="B332" s="260" t="s">
        <v>219</v>
      </c>
      <c r="C332" s="262" t="s">
        <v>220</v>
      </c>
      <c r="D332" s="262" t="s">
        <v>221</v>
      </c>
      <c r="E332" s="274" t="s">
        <v>222</v>
      </c>
    </row>
    <row r="333" spans="1:9" s="222" customFormat="1" ht="12.75" x14ac:dyDescent="0.2">
      <c r="B333" s="237" t="s">
        <v>244</v>
      </c>
      <c r="C333" s="225">
        <v>598</v>
      </c>
      <c r="D333" s="225">
        <f>C333*0.18</f>
        <v>107.64</v>
      </c>
      <c r="E333" s="225">
        <f>D333+C333</f>
        <v>705.64</v>
      </c>
      <c r="F333" s="275"/>
    </row>
    <row r="334" spans="1:9" s="222" customFormat="1" ht="12.75" x14ac:dyDescent="0.2">
      <c r="B334" s="237" t="s">
        <v>243</v>
      </c>
      <c r="C334" s="237">
        <v>35</v>
      </c>
      <c r="D334" s="225"/>
      <c r="E334" s="225">
        <f>+C334</f>
        <v>35</v>
      </c>
      <c r="F334" s="225"/>
    </row>
    <row r="335" spans="1:9" s="251" customFormat="1" ht="12.75" x14ac:dyDescent="0.2">
      <c r="A335" s="276"/>
      <c r="B335" s="276"/>
      <c r="C335" s="277"/>
      <c r="D335" s="278"/>
      <c r="E335" s="279">
        <f>SUM(E333:E334)</f>
        <v>740.64</v>
      </c>
      <c r="F335" s="250"/>
    </row>
    <row r="336" spans="1:9" s="251" customFormat="1" ht="12.75" x14ac:dyDescent="0.2">
      <c r="A336" s="276"/>
      <c r="B336" s="276"/>
      <c r="C336" s="277"/>
      <c r="D336" s="278"/>
      <c r="E336" s="279"/>
      <c r="F336" s="250"/>
    </row>
    <row r="337" spans="1:9" x14ac:dyDescent="0.2">
      <c r="A337" s="271">
        <f>0.01+A330</f>
        <v>5.12</v>
      </c>
      <c r="B337" s="283" t="s">
        <v>43</v>
      </c>
      <c r="C337" s="9">
        <v>1</v>
      </c>
      <c r="D337" s="223" t="s">
        <v>32</v>
      </c>
      <c r="E337" s="2"/>
      <c r="F337" s="2"/>
      <c r="I337" s="2"/>
    </row>
    <row r="338" spans="1:9" s="263" customFormat="1" x14ac:dyDescent="0.2">
      <c r="A338" s="259"/>
      <c r="B338" s="260"/>
      <c r="C338" s="261"/>
      <c r="D338" s="262"/>
    </row>
    <row r="339" spans="1:9" s="263" customFormat="1" x14ac:dyDescent="0.2">
      <c r="A339" s="259"/>
      <c r="B339" s="260" t="s">
        <v>219</v>
      </c>
      <c r="C339" s="262" t="s">
        <v>220</v>
      </c>
      <c r="D339" s="262" t="s">
        <v>221</v>
      </c>
      <c r="E339" s="274" t="s">
        <v>222</v>
      </c>
    </row>
    <row r="340" spans="1:9" s="222" customFormat="1" ht="12.75" x14ac:dyDescent="0.2">
      <c r="B340" s="237" t="s">
        <v>244</v>
      </c>
      <c r="C340" s="225">
        <v>280</v>
      </c>
      <c r="D340" s="225">
        <f>C340*0.18</f>
        <v>50.4</v>
      </c>
      <c r="E340" s="225">
        <f>D340+C340</f>
        <v>330.4</v>
      </c>
      <c r="F340" s="275"/>
    </row>
    <row r="341" spans="1:9" s="222" customFormat="1" ht="12.75" x14ac:dyDescent="0.2">
      <c r="B341" s="237" t="s">
        <v>243</v>
      </c>
      <c r="C341" s="237">
        <v>35</v>
      </c>
      <c r="D341" s="225"/>
      <c r="E341" s="225">
        <f>+C341</f>
        <v>35</v>
      </c>
      <c r="F341" s="225"/>
    </row>
    <row r="342" spans="1:9" s="251" customFormat="1" ht="12.75" x14ac:dyDescent="0.2">
      <c r="A342" s="276"/>
      <c r="B342" s="276"/>
      <c r="C342" s="277"/>
      <c r="D342" s="278"/>
      <c r="E342" s="279">
        <f>SUM(E340:E341)</f>
        <v>365.4</v>
      </c>
      <c r="F342" s="250"/>
    </row>
    <row r="343" spans="1:9" s="251" customFormat="1" ht="12.75" x14ac:dyDescent="0.2">
      <c r="A343" s="276"/>
      <c r="B343" s="276"/>
      <c r="C343" s="277"/>
      <c r="D343" s="278"/>
      <c r="E343" s="279"/>
      <c r="F343" s="250"/>
    </row>
    <row r="344" spans="1:9" x14ac:dyDescent="0.2">
      <c r="A344" s="271">
        <f>0.01+A337</f>
        <v>5.13</v>
      </c>
      <c r="B344" s="283" t="s">
        <v>44</v>
      </c>
      <c r="C344" s="9">
        <v>16</v>
      </c>
      <c r="D344" s="223" t="s">
        <v>32</v>
      </c>
      <c r="E344" s="2"/>
      <c r="F344" s="2"/>
      <c r="I344" s="2"/>
    </row>
    <row r="345" spans="1:9" s="263" customFormat="1" x14ac:dyDescent="0.2">
      <c r="A345" s="259"/>
      <c r="B345" s="260"/>
      <c r="C345" s="261"/>
      <c r="D345" s="262"/>
    </row>
    <row r="346" spans="1:9" s="263" customFormat="1" x14ac:dyDescent="0.2">
      <c r="A346" s="259"/>
      <c r="B346" s="260" t="s">
        <v>219</v>
      </c>
      <c r="C346" s="262" t="s">
        <v>220</v>
      </c>
      <c r="D346" s="262" t="s">
        <v>221</v>
      </c>
      <c r="E346" s="274" t="s">
        <v>222</v>
      </c>
    </row>
    <row r="347" spans="1:9" s="222" customFormat="1" ht="12.75" x14ac:dyDescent="0.2">
      <c r="B347" s="237" t="s">
        <v>244</v>
      </c>
      <c r="C347" s="225">
        <v>250</v>
      </c>
      <c r="D347" s="225">
        <f>C347*0.18</f>
        <v>45</v>
      </c>
      <c r="E347" s="225">
        <f>D347+C347</f>
        <v>295</v>
      </c>
      <c r="F347" s="275"/>
    </row>
    <row r="348" spans="1:9" s="222" customFormat="1" ht="12.75" x14ac:dyDescent="0.2">
      <c r="B348" s="237" t="s">
        <v>243</v>
      </c>
      <c r="C348" s="237">
        <v>35</v>
      </c>
      <c r="D348" s="225"/>
      <c r="E348" s="225">
        <f>+C348</f>
        <v>35</v>
      </c>
      <c r="F348" s="225"/>
    </row>
    <row r="349" spans="1:9" s="251" customFormat="1" ht="12.75" x14ac:dyDescent="0.2">
      <c r="A349" s="276"/>
      <c r="B349" s="276"/>
      <c r="C349" s="277"/>
      <c r="D349" s="278"/>
      <c r="E349" s="279">
        <f>SUM(E347:E348)</f>
        <v>330</v>
      </c>
      <c r="F349" s="250"/>
    </row>
    <row r="350" spans="1:9" s="251" customFormat="1" ht="12.75" x14ac:dyDescent="0.2">
      <c r="A350" s="276"/>
      <c r="B350" s="276"/>
      <c r="C350" s="277"/>
      <c r="D350" s="278"/>
      <c r="E350" s="279"/>
      <c r="F350" s="250"/>
    </row>
    <row r="351" spans="1:9" x14ac:dyDescent="0.2">
      <c r="A351" s="271">
        <f t="shared" ref="A351" si="9">0.01+A344</f>
        <v>5.14</v>
      </c>
      <c r="B351" s="284" t="s">
        <v>46</v>
      </c>
      <c r="C351" s="9">
        <v>8.85</v>
      </c>
      <c r="D351" s="223" t="s">
        <v>45</v>
      </c>
      <c r="E351" s="2"/>
      <c r="F351" s="2"/>
      <c r="I351" s="2"/>
    </row>
    <row r="352" spans="1:9" x14ac:dyDescent="0.2">
      <c r="A352" s="271"/>
      <c r="B352" s="284"/>
      <c r="C352" s="9"/>
      <c r="D352" s="223"/>
      <c r="E352" s="2"/>
      <c r="F352" s="2"/>
      <c r="I352" s="2"/>
    </row>
    <row r="353" spans="1:9" x14ac:dyDescent="0.2">
      <c r="A353" s="271"/>
      <c r="B353" s="260" t="s">
        <v>219</v>
      </c>
      <c r="C353" s="9"/>
      <c r="D353" s="223"/>
      <c r="E353" s="2"/>
      <c r="F353" s="2"/>
      <c r="I353" s="2"/>
    </row>
    <row r="354" spans="1:9" x14ac:dyDescent="0.2">
      <c r="A354" s="271"/>
      <c r="B354" s="285" t="s">
        <v>246</v>
      </c>
      <c r="C354" s="286">
        <v>1</v>
      </c>
      <c r="D354" s="286" t="s">
        <v>247</v>
      </c>
      <c r="E354" s="237">
        <v>6355.25</v>
      </c>
      <c r="F354" s="237">
        <f>+E354*0.18</f>
        <v>1143.9449999999999</v>
      </c>
      <c r="G354" s="237">
        <f>+F354+E354</f>
        <v>7499.1949999999997</v>
      </c>
      <c r="I354" s="2"/>
    </row>
    <row r="355" spans="1:9" x14ac:dyDescent="0.2">
      <c r="A355" s="271"/>
      <c r="B355" s="237" t="s">
        <v>243</v>
      </c>
      <c r="C355" s="237">
        <v>1</v>
      </c>
      <c r="D355" s="225" t="s">
        <v>187</v>
      </c>
      <c r="E355" s="237">
        <v>165</v>
      </c>
      <c r="F355" s="237"/>
      <c r="G355" s="237">
        <f>+E355</f>
        <v>165</v>
      </c>
      <c r="I355" s="2"/>
    </row>
    <row r="356" spans="1:9" x14ac:dyDescent="0.2">
      <c r="A356" s="216"/>
      <c r="B356" s="217"/>
      <c r="C356" s="9"/>
      <c r="D356" s="218"/>
      <c r="E356" s="2"/>
      <c r="F356" s="2"/>
      <c r="G356" s="1">
        <f>SUM(G354:G355)</f>
        <v>7664.1949999999997</v>
      </c>
      <c r="I356" s="2"/>
    </row>
    <row r="357" spans="1:9" x14ac:dyDescent="0.2">
      <c r="A357" s="216"/>
      <c r="B357" s="217"/>
      <c r="C357" s="9"/>
      <c r="D357" s="218"/>
      <c r="E357" s="2"/>
      <c r="F357" s="2"/>
      <c r="I357" s="2"/>
    </row>
    <row r="358" spans="1:9" ht="30" x14ac:dyDescent="0.2">
      <c r="A358" s="214">
        <v>6</v>
      </c>
      <c r="B358" s="287" t="s">
        <v>27</v>
      </c>
      <c r="C358" s="9"/>
      <c r="D358" s="218"/>
      <c r="E358" s="2"/>
      <c r="I358" s="2"/>
    </row>
    <row r="359" spans="1:9" ht="71.25" x14ac:dyDescent="0.2">
      <c r="A359" s="216">
        <f>0.1+A358</f>
        <v>6.1</v>
      </c>
      <c r="B359" s="243" t="s">
        <v>62</v>
      </c>
      <c r="C359" s="244">
        <v>3</v>
      </c>
      <c r="D359" s="223" t="s">
        <v>32</v>
      </c>
      <c r="E359" s="2"/>
      <c r="I359" s="2"/>
    </row>
    <row r="360" spans="1:9" x14ac:dyDescent="0.2">
      <c r="A360" s="216"/>
      <c r="B360" s="243"/>
      <c r="C360" s="244"/>
      <c r="D360" s="223"/>
      <c r="E360" s="2"/>
      <c r="I360" s="2"/>
    </row>
    <row r="361" spans="1:9" s="251" customFormat="1" x14ac:dyDescent="0.2">
      <c r="A361" s="37"/>
      <c r="B361" s="260" t="s">
        <v>219</v>
      </c>
      <c r="C361" s="288"/>
      <c r="D361" s="289"/>
      <c r="E361" s="38"/>
      <c r="F361" s="250"/>
    </row>
    <row r="362" spans="1:9" s="251" customFormat="1" ht="12.75" x14ac:dyDescent="0.2">
      <c r="A362" s="37"/>
      <c r="B362" s="285" t="s">
        <v>248</v>
      </c>
      <c r="C362" s="237">
        <v>1</v>
      </c>
      <c r="D362" s="237" t="s">
        <v>32</v>
      </c>
      <c r="E362" s="237">
        <v>16850</v>
      </c>
      <c r="F362" s="237">
        <f>0.18*E362</f>
        <v>3033</v>
      </c>
      <c r="G362" s="237">
        <f>+E362+F362</f>
        <v>19883</v>
      </c>
    </row>
    <row r="363" spans="1:9" s="251" customFormat="1" ht="12.75" x14ac:dyDescent="0.2">
      <c r="A363" s="37"/>
      <c r="B363" s="237" t="s">
        <v>243</v>
      </c>
      <c r="C363" s="237">
        <v>1</v>
      </c>
      <c r="D363" s="237" t="s">
        <v>32</v>
      </c>
      <c r="E363" s="237">
        <v>3500</v>
      </c>
      <c r="F363" s="237">
        <v>0</v>
      </c>
      <c r="G363" s="237">
        <f>+E363+F363</f>
        <v>3500</v>
      </c>
    </row>
    <row r="364" spans="1:9" s="251" customFormat="1" ht="12.75" x14ac:dyDescent="0.2">
      <c r="A364" s="37"/>
      <c r="B364" s="290"/>
      <c r="C364" s="237"/>
      <c r="D364" s="237"/>
      <c r="E364" s="237"/>
      <c r="F364" s="237"/>
      <c r="G364" s="237">
        <f>SUM(G362:G363)</f>
        <v>23383</v>
      </c>
    </row>
    <row r="365" spans="1:9" s="251" customFormat="1" ht="12.75" x14ac:dyDescent="0.2">
      <c r="A365" s="37"/>
      <c r="B365" s="290"/>
      <c r="C365" s="288"/>
      <c r="D365" s="289"/>
      <c r="E365" s="38"/>
      <c r="F365" s="250"/>
    </row>
    <row r="366" spans="1:9" ht="71.25" x14ac:dyDescent="0.2">
      <c r="A366" s="216">
        <v>6.2</v>
      </c>
      <c r="B366" s="243" t="s">
        <v>63</v>
      </c>
      <c r="C366" s="244">
        <v>3</v>
      </c>
      <c r="D366" s="223" t="s">
        <v>32</v>
      </c>
      <c r="E366" s="2"/>
      <c r="I366" s="2"/>
    </row>
    <row r="367" spans="1:9" x14ac:dyDescent="0.2">
      <c r="A367" s="216"/>
      <c r="B367" s="243"/>
      <c r="C367" s="244"/>
      <c r="D367" s="223"/>
      <c r="E367" s="2"/>
      <c r="I367" s="2"/>
    </row>
    <row r="368" spans="1:9" s="251" customFormat="1" x14ac:dyDescent="0.2">
      <c r="A368" s="37"/>
      <c r="B368" s="260" t="s">
        <v>219</v>
      </c>
      <c r="C368" s="288"/>
      <c r="D368" s="289"/>
      <c r="E368" s="38"/>
      <c r="F368" s="250"/>
    </row>
    <row r="369" spans="1:10" s="251" customFormat="1" ht="12.75" x14ac:dyDescent="0.2">
      <c r="A369" s="37"/>
      <c r="B369" s="285" t="s">
        <v>249</v>
      </c>
      <c r="C369" s="237">
        <v>1</v>
      </c>
      <c r="D369" s="237" t="s">
        <v>32</v>
      </c>
      <c r="E369" s="237">
        <v>16325</v>
      </c>
      <c r="F369" s="237">
        <f>0.18*E369</f>
        <v>2938.5</v>
      </c>
      <c r="G369" s="237">
        <f>+E369+F369</f>
        <v>19263.5</v>
      </c>
    </row>
    <row r="370" spans="1:10" s="251" customFormat="1" ht="12.75" x14ac:dyDescent="0.2">
      <c r="A370" s="37"/>
      <c r="B370" s="237" t="s">
        <v>243</v>
      </c>
      <c r="C370" s="237">
        <v>1</v>
      </c>
      <c r="D370" s="237" t="s">
        <v>32</v>
      </c>
      <c r="E370" s="237">
        <v>3500</v>
      </c>
      <c r="F370" s="237">
        <v>0</v>
      </c>
      <c r="G370" s="237">
        <f>+E370+F370</f>
        <v>3500</v>
      </c>
    </row>
    <row r="371" spans="1:10" s="251" customFormat="1" ht="12.75" x14ac:dyDescent="0.2">
      <c r="A371" s="37"/>
      <c r="B371" s="290"/>
      <c r="C371" s="237"/>
      <c r="D371" s="237"/>
      <c r="E371" s="237"/>
      <c r="F371" s="237"/>
      <c r="G371" s="237">
        <f>SUM(G369:G370)</f>
        <v>22763.5</v>
      </c>
    </row>
    <row r="372" spans="1:10" s="251" customFormat="1" ht="12.75" x14ac:dyDescent="0.2">
      <c r="A372" s="37"/>
      <c r="B372" s="290"/>
      <c r="C372" s="288"/>
      <c r="D372" s="289"/>
      <c r="E372" s="38"/>
      <c r="F372" s="250"/>
    </row>
    <row r="373" spans="1:10" x14ac:dyDescent="0.2">
      <c r="A373" s="216">
        <v>6.3</v>
      </c>
      <c r="B373" s="217" t="s">
        <v>64</v>
      </c>
      <c r="C373" s="9">
        <v>6</v>
      </c>
      <c r="D373" s="223" t="s">
        <v>32</v>
      </c>
      <c r="E373" s="2"/>
      <c r="I373" s="2"/>
    </row>
    <row r="374" spans="1:10" x14ac:dyDescent="0.2">
      <c r="A374" s="216"/>
      <c r="B374" s="217"/>
      <c r="C374" s="9"/>
      <c r="D374" s="218"/>
      <c r="E374" s="2"/>
      <c r="I374" s="2"/>
    </row>
    <row r="375" spans="1:10" s="222" customFormat="1" ht="18" x14ac:dyDescent="0.4">
      <c r="B375" s="291" t="s">
        <v>250</v>
      </c>
      <c r="C375" s="292" t="s">
        <v>252</v>
      </c>
      <c r="D375" s="292" t="s">
        <v>251</v>
      </c>
      <c r="E375" s="1"/>
      <c r="F375" s="264"/>
      <c r="G375" s="264"/>
      <c r="H375" s="264"/>
      <c r="I375" s="264"/>
    </row>
    <row r="376" spans="1:10" s="222" customFormat="1" ht="15.75" x14ac:dyDescent="0.25">
      <c r="B376" s="264" t="s">
        <v>253</v>
      </c>
      <c r="C376" s="237">
        <v>0.2</v>
      </c>
      <c r="D376" s="237" t="s">
        <v>32</v>
      </c>
      <c r="E376" s="237">
        <f>2448*C376</f>
        <v>489.6</v>
      </c>
      <c r="F376" s="237">
        <f>0.18*E376</f>
        <v>88.128</v>
      </c>
      <c r="G376" s="237">
        <f>+E376+F376</f>
        <v>577.72799999999995</v>
      </c>
      <c r="H376" s="264"/>
      <c r="I376" s="264"/>
    </row>
    <row r="377" spans="1:10" s="222" customFormat="1" ht="15.75" x14ac:dyDescent="0.25">
      <c r="B377" s="264" t="s">
        <v>254</v>
      </c>
      <c r="C377" s="237">
        <v>2</v>
      </c>
      <c r="D377" s="237" t="s">
        <v>32</v>
      </c>
      <c r="E377" s="237">
        <v>2535.3200000000002</v>
      </c>
      <c r="F377" s="237">
        <f t="shared" ref="F377" si="10">0.18*E377</f>
        <v>456.35759999999999</v>
      </c>
      <c r="G377" s="237">
        <f t="shared" ref="G377:G378" si="11">+E377+F377</f>
        <v>2991.6776</v>
      </c>
      <c r="H377" s="264"/>
      <c r="I377" s="264"/>
    </row>
    <row r="378" spans="1:10" s="222" customFormat="1" ht="15.75" x14ac:dyDescent="0.25">
      <c r="B378" s="264" t="s">
        <v>243</v>
      </c>
      <c r="C378" s="237">
        <v>1</v>
      </c>
      <c r="D378" s="237" t="s">
        <v>32</v>
      </c>
      <c r="E378" s="237">
        <v>3500</v>
      </c>
      <c r="F378" s="237"/>
      <c r="G378" s="237">
        <f t="shared" si="11"/>
        <v>3500</v>
      </c>
      <c r="H378" s="264"/>
      <c r="I378" s="264"/>
    </row>
    <row r="379" spans="1:10" s="222" customFormat="1" ht="15.75" x14ac:dyDescent="0.25">
      <c r="B379" s="264"/>
      <c r="C379" s="264"/>
      <c r="D379" s="264"/>
      <c r="F379" s="1"/>
      <c r="G379" s="264">
        <f>SUM(G376:G378)</f>
        <v>7069.41</v>
      </c>
      <c r="H379" s="264"/>
      <c r="I379" s="264"/>
    </row>
    <row r="380" spans="1:10" ht="15" x14ac:dyDescent="0.2">
      <c r="A380" s="293">
        <v>7</v>
      </c>
      <c r="B380" s="294" t="s">
        <v>59</v>
      </c>
      <c r="C380" s="295"/>
      <c r="D380" s="296"/>
      <c r="E380" s="2"/>
      <c r="I380" s="2"/>
    </row>
    <row r="381" spans="1:10" ht="55.9" customHeight="1" x14ac:dyDescent="0.2">
      <c r="A381" s="297">
        <f t="shared" ref="A381" si="12">+A380+0.1</f>
        <v>7.1</v>
      </c>
      <c r="B381" s="298" t="s">
        <v>88</v>
      </c>
      <c r="C381" s="39">
        <v>700</v>
      </c>
      <c r="D381" s="299" t="s">
        <v>32</v>
      </c>
      <c r="E381" s="2"/>
      <c r="I381" s="2"/>
    </row>
    <row r="382" spans="1:10" s="229" customFormat="1" ht="11.25" collapsed="1" x14ac:dyDescent="0.2">
      <c r="A382" s="224"/>
      <c r="B382" s="225"/>
      <c r="C382" s="226"/>
      <c r="D382" s="227"/>
      <c r="E382" s="228"/>
      <c r="F382" s="228"/>
      <c r="G382" s="228"/>
      <c r="H382" s="228"/>
      <c r="I382" s="228"/>
    </row>
    <row r="383" spans="1:10" s="229" customFormat="1" ht="11.25" x14ac:dyDescent="0.2">
      <c r="A383" s="230"/>
      <c r="B383" s="231" t="s">
        <v>255</v>
      </c>
      <c r="C383" s="232">
        <v>1</v>
      </c>
      <c r="D383" s="233" t="s">
        <v>112</v>
      </c>
      <c r="E383" s="234"/>
      <c r="F383" s="234"/>
      <c r="G383" s="234">
        <f>+G401/C385</f>
        <v>3106.99</v>
      </c>
      <c r="H383" s="234">
        <f>+H401/C385</f>
        <v>298.24</v>
      </c>
      <c r="I383" s="235">
        <f>+I401/C385</f>
        <v>3405.23</v>
      </c>
      <c r="J383" s="36"/>
    </row>
    <row r="384" spans="1:10" s="229" customFormat="1" ht="11.25" outlineLevel="1" x14ac:dyDescent="0.2">
      <c r="A384" s="230"/>
      <c r="B384" s="225" t="s">
        <v>256</v>
      </c>
      <c r="C384" s="232"/>
      <c r="D384" s="233"/>
      <c r="E384" s="234"/>
      <c r="F384" s="234"/>
      <c r="G384" s="234"/>
      <c r="H384" s="234"/>
      <c r="I384" s="235"/>
      <c r="J384" s="236"/>
    </row>
    <row r="385" spans="1:10" s="229" customFormat="1" ht="11.25" outlineLevel="1" x14ac:dyDescent="0.2">
      <c r="A385" s="230"/>
      <c r="B385" s="237" t="s">
        <v>137</v>
      </c>
      <c r="C385" s="226">
        <v>1</v>
      </c>
      <c r="D385" s="227" t="s">
        <v>112</v>
      </c>
      <c r="E385" s="234"/>
      <c r="F385" s="234"/>
      <c r="G385" s="234"/>
      <c r="H385" s="234"/>
      <c r="I385" s="235"/>
      <c r="J385" s="236"/>
    </row>
    <row r="386" spans="1:10" s="229" customFormat="1" ht="11.25" outlineLevel="1" x14ac:dyDescent="0.2">
      <c r="A386" s="230"/>
      <c r="B386" s="225"/>
      <c r="C386" s="226"/>
      <c r="D386" s="238"/>
      <c r="E386" s="234"/>
      <c r="F386" s="234"/>
      <c r="G386" s="234"/>
      <c r="H386" s="234"/>
      <c r="I386" s="235"/>
      <c r="J386" s="236"/>
    </row>
    <row r="387" spans="1:10" s="229" customFormat="1" ht="11.25" outlineLevel="1" x14ac:dyDescent="0.2">
      <c r="A387" s="224"/>
      <c r="B387" s="237" t="s">
        <v>141</v>
      </c>
      <c r="C387" s="226"/>
      <c r="D387" s="227"/>
      <c r="E387" s="228"/>
      <c r="F387" s="228"/>
      <c r="G387" s="228"/>
      <c r="H387" s="228"/>
      <c r="I387" s="228"/>
    </row>
    <row r="388" spans="1:10" s="229" customFormat="1" ht="11.25" outlineLevel="1" x14ac:dyDescent="0.2">
      <c r="A388" s="224"/>
      <c r="B388" s="237" t="s">
        <v>257</v>
      </c>
      <c r="C388" s="226">
        <v>1</v>
      </c>
      <c r="D388" s="227" t="s">
        <v>145</v>
      </c>
      <c r="E388" s="228">
        <v>88.26</v>
      </c>
      <c r="F388" s="228">
        <f>0.18*E388</f>
        <v>15.89</v>
      </c>
      <c r="G388" s="228">
        <f t="shared" ref="G388:G389" si="13">ROUND((C388*(E388)),2)</f>
        <v>88.26</v>
      </c>
      <c r="H388" s="228">
        <f t="shared" ref="H388:H389" si="14">ROUND((C388*(F388)),2)</f>
        <v>15.89</v>
      </c>
      <c r="I388" s="228"/>
    </row>
    <row r="389" spans="1:10" s="229" customFormat="1" ht="11.25" outlineLevel="1" x14ac:dyDescent="0.2">
      <c r="A389" s="224"/>
      <c r="B389" s="237" t="s">
        <v>258</v>
      </c>
      <c r="C389" s="226">
        <v>1</v>
      </c>
      <c r="D389" s="227" t="s">
        <v>145</v>
      </c>
      <c r="E389" s="228">
        <v>125.41</v>
      </c>
      <c r="F389" s="228">
        <f t="shared" ref="F389:F398" si="15">0.18*E389</f>
        <v>22.57</v>
      </c>
      <c r="G389" s="228">
        <f t="shared" si="13"/>
        <v>125.41</v>
      </c>
      <c r="H389" s="228">
        <f t="shared" si="14"/>
        <v>22.57</v>
      </c>
      <c r="I389" s="228"/>
    </row>
    <row r="390" spans="1:10" s="229" customFormat="1" ht="11.25" outlineLevel="1" x14ac:dyDescent="0.2">
      <c r="A390" s="224"/>
      <c r="B390" s="237" t="s">
        <v>259</v>
      </c>
      <c r="C390" s="226">
        <v>5</v>
      </c>
      <c r="D390" s="227" t="s">
        <v>12</v>
      </c>
      <c r="E390" s="228">
        <v>35</v>
      </c>
      <c r="F390" s="228">
        <f t="shared" si="15"/>
        <v>6.3</v>
      </c>
      <c r="G390" s="228">
        <f>ROUND((C390*(E390)),2)</f>
        <v>175</v>
      </c>
      <c r="H390" s="228">
        <f>ROUND((C390*(F390)),2)</f>
        <v>31.5</v>
      </c>
      <c r="I390" s="228"/>
    </row>
    <row r="391" spans="1:10" s="229" customFormat="1" ht="11.25" outlineLevel="1" x14ac:dyDescent="0.2">
      <c r="A391" s="224"/>
      <c r="B391" s="237" t="s">
        <v>260</v>
      </c>
      <c r="C391" s="226">
        <v>2</v>
      </c>
      <c r="D391" s="227" t="s">
        <v>145</v>
      </c>
      <c r="E391" s="228">
        <v>150.41</v>
      </c>
      <c r="F391" s="228">
        <f t="shared" si="15"/>
        <v>27.07</v>
      </c>
      <c r="G391" s="228">
        <f t="shared" ref="G391:G396" si="16">ROUND((C391*(E391)),2)</f>
        <v>300.82</v>
      </c>
      <c r="H391" s="228">
        <f t="shared" ref="H391:H396" si="17">ROUND((C391*(F391)),2)</f>
        <v>54.14</v>
      </c>
      <c r="I391" s="228"/>
    </row>
    <row r="392" spans="1:10" s="229" customFormat="1" ht="11.25" outlineLevel="1" x14ac:dyDescent="0.2">
      <c r="A392" s="224"/>
      <c r="B392" s="237" t="s">
        <v>261</v>
      </c>
      <c r="C392" s="226">
        <v>1</v>
      </c>
      <c r="D392" s="227" t="s">
        <v>145</v>
      </c>
      <c r="E392" s="228">
        <v>575.29999999999995</v>
      </c>
      <c r="F392" s="228">
        <f t="shared" si="15"/>
        <v>103.55</v>
      </c>
      <c r="G392" s="228">
        <f t="shared" si="16"/>
        <v>575.29999999999995</v>
      </c>
      <c r="H392" s="228">
        <f t="shared" si="17"/>
        <v>103.55</v>
      </c>
      <c r="I392" s="228"/>
    </row>
    <row r="393" spans="1:10" s="229" customFormat="1" ht="11.25" outlineLevel="1" x14ac:dyDescent="0.2">
      <c r="A393" s="224"/>
      <c r="B393" s="237" t="s">
        <v>262</v>
      </c>
      <c r="C393" s="226">
        <v>1</v>
      </c>
      <c r="D393" s="227" t="s">
        <v>145</v>
      </c>
      <c r="E393" s="228">
        <v>7.35</v>
      </c>
      <c r="F393" s="228">
        <f t="shared" si="15"/>
        <v>1.32</v>
      </c>
      <c r="G393" s="228">
        <f t="shared" si="16"/>
        <v>7.35</v>
      </c>
      <c r="H393" s="228">
        <f t="shared" si="17"/>
        <v>1.32</v>
      </c>
      <c r="I393" s="228"/>
    </row>
    <row r="394" spans="1:10" s="229" customFormat="1" ht="11.25" outlineLevel="1" x14ac:dyDescent="0.2">
      <c r="A394" s="224"/>
      <c r="B394" s="237" t="s">
        <v>263</v>
      </c>
      <c r="C394" s="226">
        <v>0.25</v>
      </c>
      <c r="D394" s="227" t="s">
        <v>145</v>
      </c>
      <c r="E394" s="228">
        <v>310</v>
      </c>
      <c r="F394" s="228">
        <f t="shared" si="15"/>
        <v>55.8</v>
      </c>
      <c r="G394" s="228">
        <f t="shared" si="16"/>
        <v>77.5</v>
      </c>
      <c r="H394" s="228">
        <f t="shared" si="17"/>
        <v>13.95</v>
      </c>
      <c r="I394" s="228"/>
    </row>
    <row r="395" spans="1:10" s="229" customFormat="1" ht="22.5" outlineLevel="1" x14ac:dyDescent="0.2">
      <c r="A395" s="224"/>
      <c r="B395" s="237" t="s">
        <v>264</v>
      </c>
      <c r="C395" s="226">
        <v>1</v>
      </c>
      <c r="D395" s="227" t="s">
        <v>145</v>
      </c>
      <c r="E395" s="228">
        <v>10</v>
      </c>
      <c r="F395" s="228">
        <f t="shared" si="15"/>
        <v>1.8</v>
      </c>
      <c r="G395" s="228">
        <f t="shared" si="16"/>
        <v>10</v>
      </c>
      <c r="H395" s="228">
        <f t="shared" si="17"/>
        <v>1.8</v>
      </c>
      <c r="I395" s="228"/>
    </row>
    <row r="396" spans="1:10" s="229" customFormat="1" ht="11.25" outlineLevel="1" x14ac:dyDescent="0.2">
      <c r="A396" s="224"/>
      <c r="B396" s="237" t="s">
        <v>265</v>
      </c>
      <c r="C396" s="226">
        <v>1</v>
      </c>
      <c r="D396" s="227" t="s">
        <v>145</v>
      </c>
      <c r="E396" s="228">
        <v>297.35000000000002</v>
      </c>
      <c r="F396" s="228">
        <f t="shared" si="15"/>
        <v>53.52</v>
      </c>
      <c r="G396" s="228">
        <f t="shared" si="16"/>
        <v>297.35000000000002</v>
      </c>
      <c r="H396" s="228">
        <f t="shared" si="17"/>
        <v>53.52</v>
      </c>
      <c r="I396" s="228"/>
    </row>
    <row r="397" spans="1:10" s="229" customFormat="1" ht="11.25" outlineLevel="1" x14ac:dyDescent="0.2">
      <c r="A397" s="224"/>
      <c r="B397" s="237" t="s">
        <v>266</v>
      </c>
      <c r="C397" s="226">
        <v>0</v>
      </c>
      <c r="D397" s="227" t="s">
        <v>145</v>
      </c>
      <c r="E397" s="228">
        <v>205</v>
      </c>
      <c r="F397" s="228">
        <f t="shared" si="15"/>
        <v>36.9</v>
      </c>
      <c r="G397" s="228">
        <f>ROUND((C397*(E397)),2)</f>
        <v>0</v>
      </c>
      <c r="H397" s="228">
        <f>ROUND((C397*(F397)),2)</f>
        <v>0</v>
      </c>
      <c r="I397" s="228"/>
    </row>
    <row r="398" spans="1:10" s="229" customFormat="1" ht="11.25" outlineLevel="1" x14ac:dyDescent="0.2">
      <c r="A398" s="224"/>
      <c r="B398" s="237" t="s">
        <v>269</v>
      </c>
      <c r="C398" s="226">
        <v>1</v>
      </c>
      <c r="D398" s="227" t="s">
        <v>145</v>
      </c>
      <c r="E398" s="228">
        <v>500</v>
      </c>
      <c r="F398" s="228">
        <f t="shared" si="15"/>
        <v>90</v>
      </c>
      <c r="G398" s="228">
        <f>ROUND((C398*(E398)),2)</f>
        <v>500</v>
      </c>
      <c r="H398" s="228">
        <f>ROUND((C398*(F398)),2)</f>
        <v>90</v>
      </c>
      <c r="I398" s="228"/>
    </row>
    <row r="399" spans="1:10" s="229" customFormat="1" ht="11.25" outlineLevel="1" x14ac:dyDescent="0.2">
      <c r="A399" s="224"/>
      <c r="B399" s="237" t="s">
        <v>267</v>
      </c>
      <c r="C399" s="226">
        <v>1</v>
      </c>
      <c r="D399" s="227" t="s">
        <v>145</v>
      </c>
      <c r="E399" s="228">
        <v>950</v>
      </c>
      <c r="F399" s="228"/>
      <c r="G399" s="228">
        <f>ROUND((C399*(E399)),2)</f>
        <v>950</v>
      </c>
      <c r="H399" s="228"/>
      <c r="I399" s="228"/>
    </row>
    <row r="400" spans="1:10" s="229" customFormat="1" ht="11.25" outlineLevel="1" x14ac:dyDescent="0.2">
      <c r="A400" s="224"/>
      <c r="B400" s="237"/>
      <c r="C400" s="226"/>
      <c r="D400" s="227"/>
      <c r="E400" s="228"/>
      <c r="F400" s="228"/>
      <c r="G400" s="228"/>
      <c r="H400" s="228"/>
      <c r="I400" s="228"/>
    </row>
    <row r="401" spans="1:10" s="229" customFormat="1" ht="11.25" outlineLevel="1" x14ac:dyDescent="0.2">
      <c r="A401" s="224"/>
      <c r="B401" s="225" t="s">
        <v>146</v>
      </c>
      <c r="C401" s="226"/>
      <c r="D401" s="227"/>
      <c r="E401" s="228"/>
      <c r="F401" s="228"/>
      <c r="G401" s="228">
        <f>SUM(G388:G399)</f>
        <v>3106.99</v>
      </c>
      <c r="H401" s="228">
        <f>SUM(H388:H397)</f>
        <v>298.24</v>
      </c>
      <c r="I401" s="228">
        <f>SUM(G401:H401)</f>
        <v>3405.23</v>
      </c>
      <c r="J401" s="229">
        <f>G401*0.25</f>
        <v>776.74749999999995</v>
      </c>
    </row>
    <row r="402" spans="1:10" s="229" customFormat="1" ht="11.25" x14ac:dyDescent="0.2">
      <c r="A402" s="224"/>
      <c r="B402" s="225"/>
      <c r="C402" s="226"/>
      <c r="D402" s="227"/>
      <c r="E402" s="228"/>
      <c r="F402" s="228"/>
      <c r="G402" s="228"/>
      <c r="H402" s="228"/>
      <c r="I402" s="228"/>
    </row>
    <row r="403" spans="1:10" ht="40.9" customHeight="1" x14ac:dyDescent="0.2">
      <c r="A403" s="297">
        <f>+A381+0.1</f>
        <v>7.2</v>
      </c>
      <c r="B403" s="217" t="s">
        <v>60</v>
      </c>
      <c r="C403" s="9">
        <v>300</v>
      </c>
      <c r="D403" s="299" t="s">
        <v>32</v>
      </c>
      <c r="E403" s="2"/>
      <c r="I403" s="2"/>
    </row>
    <row r="404" spans="1:10" s="229" customFormat="1" ht="11.25" collapsed="1" x14ac:dyDescent="0.2">
      <c r="A404" s="224"/>
      <c r="B404" s="225"/>
      <c r="C404" s="226"/>
      <c r="D404" s="227"/>
      <c r="E404" s="228"/>
      <c r="F404" s="228"/>
      <c r="G404" s="228"/>
      <c r="H404" s="228"/>
      <c r="I404" s="228"/>
    </row>
    <row r="405" spans="1:10" s="229" customFormat="1" ht="11.25" x14ac:dyDescent="0.2">
      <c r="A405" s="230"/>
      <c r="B405" s="231" t="s">
        <v>255</v>
      </c>
      <c r="C405" s="232">
        <v>1</v>
      </c>
      <c r="D405" s="233" t="s">
        <v>112</v>
      </c>
      <c r="E405" s="234"/>
      <c r="F405" s="234"/>
      <c r="G405" s="234">
        <f>+G424/C407</f>
        <v>2096.08</v>
      </c>
      <c r="H405" s="234">
        <f>+H424/C407</f>
        <v>206.28</v>
      </c>
      <c r="I405" s="235">
        <f>+I424/C407</f>
        <v>2302.36</v>
      </c>
      <c r="J405" s="36"/>
    </row>
    <row r="406" spans="1:10" s="229" customFormat="1" ht="11.25" outlineLevel="1" x14ac:dyDescent="0.2">
      <c r="A406" s="230"/>
      <c r="B406" s="225" t="s">
        <v>256</v>
      </c>
      <c r="C406" s="232"/>
      <c r="D406" s="233"/>
      <c r="E406" s="234"/>
      <c r="F406" s="234"/>
      <c r="G406" s="234"/>
      <c r="H406" s="234"/>
      <c r="I406" s="235"/>
      <c r="J406" s="236"/>
    </row>
    <row r="407" spans="1:10" s="229" customFormat="1" ht="11.25" outlineLevel="1" x14ac:dyDescent="0.2">
      <c r="A407" s="230"/>
      <c r="B407" s="237" t="s">
        <v>137</v>
      </c>
      <c r="C407" s="226">
        <v>1</v>
      </c>
      <c r="D407" s="227" t="s">
        <v>112</v>
      </c>
      <c r="E407" s="234"/>
      <c r="F407" s="234"/>
      <c r="G407" s="234"/>
      <c r="H407" s="234"/>
      <c r="I407" s="235"/>
      <c r="J407" s="236"/>
    </row>
    <row r="408" spans="1:10" s="229" customFormat="1" ht="11.25" outlineLevel="1" x14ac:dyDescent="0.2">
      <c r="A408" s="230"/>
      <c r="B408" s="225"/>
      <c r="C408" s="226"/>
      <c r="D408" s="238"/>
      <c r="E408" s="234"/>
      <c r="F408" s="234"/>
      <c r="G408" s="234"/>
      <c r="H408" s="234"/>
      <c r="I408" s="235"/>
      <c r="J408" s="236"/>
    </row>
    <row r="409" spans="1:10" s="229" customFormat="1" ht="11.25" outlineLevel="1" x14ac:dyDescent="0.2">
      <c r="A409" s="224"/>
      <c r="B409" s="237" t="s">
        <v>141</v>
      </c>
      <c r="C409" s="226"/>
      <c r="D409" s="227"/>
      <c r="E409" s="228"/>
      <c r="F409" s="228"/>
      <c r="G409" s="228"/>
      <c r="H409" s="228"/>
      <c r="I409" s="228"/>
    </row>
    <row r="410" spans="1:10" s="229" customFormat="1" ht="11.25" outlineLevel="1" x14ac:dyDescent="0.2">
      <c r="A410" s="224"/>
      <c r="B410" s="237" t="s">
        <v>257</v>
      </c>
      <c r="C410" s="226">
        <v>1</v>
      </c>
      <c r="D410" s="227" t="s">
        <v>145</v>
      </c>
      <c r="E410" s="228">
        <v>90</v>
      </c>
      <c r="F410" s="228">
        <f>0.18*E410</f>
        <v>16.2</v>
      </c>
      <c r="G410" s="228">
        <f t="shared" ref="G410:G411" si="18">ROUND((C410*(E410)),2)</f>
        <v>90</v>
      </c>
      <c r="H410" s="228">
        <f t="shared" ref="H410:H411" si="19">ROUND((C410*(F410)),2)</f>
        <v>16.2</v>
      </c>
      <c r="I410" s="228"/>
    </row>
    <row r="411" spans="1:10" s="229" customFormat="1" ht="11.25" outlineLevel="1" x14ac:dyDescent="0.2">
      <c r="A411" s="224"/>
      <c r="B411" s="237" t="s">
        <v>258</v>
      </c>
      <c r="C411" s="226">
        <v>1</v>
      </c>
      <c r="D411" s="227" t="s">
        <v>145</v>
      </c>
      <c r="E411" s="228">
        <v>125.41</v>
      </c>
      <c r="F411" s="228">
        <f t="shared" ref="F411:F421" si="20">0.18*E411</f>
        <v>22.57</v>
      </c>
      <c r="G411" s="228">
        <f t="shared" si="18"/>
        <v>125.41</v>
      </c>
      <c r="H411" s="228">
        <f t="shared" si="19"/>
        <v>22.57</v>
      </c>
      <c r="I411" s="228"/>
    </row>
    <row r="412" spans="1:10" s="229" customFormat="1" ht="11.25" outlineLevel="1" x14ac:dyDescent="0.2">
      <c r="A412" s="224"/>
      <c r="B412" s="237" t="s">
        <v>259</v>
      </c>
      <c r="C412" s="226">
        <v>15</v>
      </c>
      <c r="D412" s="227" t="s">
        <v>12</v>
      </c>
      <c r="E412" s="228">
        <v>35</v>
      </c>
      <c r="F412" s="228">
        <f t="shared" si="20"/>
        <v>6.3</v>
      </c>
      <c r="G412" s="228">
        <f>ROUND((C412*(E412)),2)</f>
        <v>525</v>
      </c>
      <c r="H412" s="228">
        <f>ROUND((C412*(F412)),2)</f>
        <v>94.5</v>
      </c>
      <c r="I412" s="228"/>
    </row>
    <row r="413" spans="1:10" s="229" customFormat="1" ht="11.25" outlineLevel="1" x14ac:dyDescent="0.2">
      <c r="A413" s="224"/>
      <c r="B413" s="237" t="s">
        <v>260</v>
      </c>
      <c r="C413" s="226">
        <v>2</v>
      </c>
      <c r="D413" s="227" t="s">
        <v>145</v>
      </c>
      <c r="E413" s="228">
        <v>150.41</v>
      </c>
      <c r="F413" s="228">
        <f t="shared" si="20"/>
        <v>27.07</v>
      </c>
      <c r="G413" s="228">
        <f t="shared" ref="G413:G419" si="21">ROUND((C413*(E413)),2)</f>
        <v>300.82</v>
      </c>
      <c r="H413" s="228">
        <f t="shared" ref="H413:H419" si="22">ROUND((C413*(F413)),2)</f>
        <v>54.14</v>
      </c>
      <c r="I413" s="228"/>
    </row>
    <row r="414" spans="1:10" s="229" customFormat="1" ht="11.25" outlineLevel="1" x14ac:dyDescent="0.2">
      <c r="A414" s="224"/>
      <c r="B414" s="237" t="s">
        <v>261</v>
      </c>
      <c r="C414" s="226">
        <v>0</v>
      </c>
      <c r="D414" s="227" t="s">
        <v>145</v>
      </c>
      <c r="E414" s="228">
        <v>450</v>
      </c>
      <c r="F414" s="228">
        <f t="shared" si="20"/>
        <v>81</v>
      </c>
      <c r="G414" s="228">
        <f t="shared" si="21"/>
        <v>0</v>
      </c>
      <c r="H414" s="228">
        <f t="shared" si="22"/>
        <v>0</v>
      </c>
      <c r="I414" s="228"/>
    </row>
    <row r="415" spans="1:10" s="229" customFormat="1" ht="11.25" outlineLevel="1" x14ac:dyDescent="0.2">
      <c r="A415" s="224"/>
      <c r="B415" s="237" t="s">
        <v>262</v>
      </c>
      <c r="C415" s="226">
        <v>1</v>
      </c>
      <c r="D415" s="227" t="s">
        <v>145</v>
      </c>
      <c r="E415" s="228">
        <v>7.35</v>
      </c>
      <c r="F415" s="228">
        <f t="shared" si="20"/>
        <v>1.32</v>
      </c>
      <c r="G415" s="228">
        <f t="shared" si="21"/>
        <v>7.35</v>
      </c>
      <c r="H415" s="228">
        <f t="shared" si="22"/>
        <v>1.32</v>
      </c>
      <c r="I415" s="228"/>
    </row>
    <row r="416" spans="1:10" s="229" customFormat="1" ht="11.25" outlineLevel="1" x14ac:dyDescent="0.2">
      <c r="A416" s="224"/>
      <c r="B416" s="237" t="s">
        <v>263</v>
      </c>
      <c r="C416" s="226">
        <v>0.25</v>
      </c>
      <c r="D416" s="227" t="s">
        <v>145</v>
      </c>
      <c r="E416" s="228">
        <v>310</v>
      </c>
      <c r="F416" s="228">
        <f t="shared" si="20"/>
        <v>55.8</v>
      </c>
      <c r="G416" s="228">
        <f t="shared" si="21"/>
        <v>77.5</v>
      </c>
      <c r="H416" s="228">
        <f t="shared" si="22"/>
        <v>13.95</v>
      </c>
      <c r="I416" s="228"/>
    </row>
    <row r="417" spans="1:9" s="229" customFormat="1" ht="11.25" outlineLevel="1" x14ac:dyDescent="0.2">
      <c r="A417" s="224"/>
      <c r="B417" s="237" t="s">
        <v>268</v>
      </c>
      <c r="C417" s="226">
        <v>1</v>
      </c>
      <c r="D417" s="227" t="s">
        <v>145</v>
      </c>
      <c r="E417" s="228">
        <v>10</v>
      </c>
      <c r="F417" s="228">
        <f t="shared" si="20"/>
        <v>1.8</v>
      </c>
      <c r="G417" s="228">
        <f t="shared" si="21"/>
        <v>10</v>
      </c>
      <c r="H417" s="228">
        <f t="shared" si="22"/>
        <v>1.8</v>
      </c>
      <c r="I417" s="228"/>
    </row>
    <row r="418" spans="1:9" s="229" customFormat="1" ht="22.5" outlineLevel="1" x14ac:dyDescent="0.2">
      <c r="A418" s="224"/>
      <c r="B418" s="237" t="s">
        <v>264</v>
      </c>
      <c r="C418" s="226">
        <v>1</v>
      </c>
      <c r="D418" s="227" t="s">
        <v>145</v>
      </c>
      <c r="E418" s="228">
        <v>10</v>
      </c>
      <c r="F418" s="228">
        <f t="shared" si="20"/>
        <v>1.8</v>
      </c>
      <c r="G418" s="228">
        <f t="shared" si="21"/>
        <v>10</v>
      </c>
      <c r="H418" s="228">
        <f t="shared" si="22"/>
        <v>1.8</v>
      </c>
      <c r="I418" s="228"/>
    </row>
    <row r="419" spans="1:9" s="229" customFormat="1" ht="11.25" outlineLevel="1" x14ac:dyDescent="0.2">
      <c r="A419" s="224"/>
      <c r="B419" s="237" t="s">
        <v>265</v>
      </c>
      <c r="C419" s="226">
        <v>0</v>
      </c>
      <c r="D419" s="227" t="s">
        <v>145</v>
      </c>
      <c r="E419" s="228">
        <v>297.35000000000002</v>
      </c>
      <c r="F419" s="228">
        <f t="shared" si="20"/>
        <v>53.52</v>
      </c>
      <c r="G419" s="228">
        <f t="shared" si="21"/>
        <v>0</v>
      </c>
      <c r="H419" s="228">
        <f t="shared" si="22"/>
        <v>0</v>
      </c>
      <c r="I419" s="228"/>
    </row>
    <row r="420" spans="1:9" s="229" customFormat="1" ht="11.25" outlineLevel="1" x14ac:dyDescent="0.2">
      <c r="A420" s="224"/>
      <c r="B420" s="237" t="s">
        <v>266</v>
      </c>
      <c r="C420" s="226">
        <v>0</v>
      </c>
      <c r="D420" s="227" t="s">
        <v>145</v>
      </c>
      <c r="E420" s="228">
        <v>205</v>
      </c>
      <c r="F420" s="228">
        <f t="shared" si="20"/>
        <v>36.9</v>
      </c>
      <c r="G420" s="228">
        <f>ROUND((C420*(E420)),2)</f>
        <v>0</v>
      </c>
      <c r="H420" s="228">
        <f>ROUND((C420*(F420)),2)</f>
        <v>0</v>
      </c>
      <c r="I420" s="228"/>
    </row>
    <row r="421" spans="1:9" s="229" customFormat="1" ht="11.25" outlineLevel="1" x14ac:dyDescent="0.2">
      <c r="A421" s="224"/>
      <c r="B421" s="237" t="s">
        <v>269</v>
      </c>
      <c r="C421" s="226">
        <v>0</v>
      </c>
      <c r="D421" s="227" t="s">
        <v>145</v>
      </c>
      <c r="E421" s="228">
        <v>500</v>
      </c>
      <c r="F421" s="228">
        <f t="shared" si="20"/>
        <v>90</v>
      </c>
      <c r="G421" s="228">
        <f>ROUND((C421*(E421)),2)</f>
        <v>0</v>
      </c>
      <c r="H421" s="228">
        <f>ROUND((C421*(F421)),2)</f>
        <v>0</v>
      </c>
      <c r="I421" s="228"/>
    </row>
    <row r="422" spans="1:9" s="229" customFormat="1" ht="11.25" outlineLevel="1" x14ac:dyDescent="0.2">
      <c r="A422" s="224"/>
      <c r="B422" s="237" t="s">
        <v>267</v>
      </c>
      <c r="C422" s="226">
        <v>1</v>
      </c>
      <c r="D422" s="227" t="s">
        <v>145</v>
      </c>
      <c r="E422" s="228">
        <v>950</v>
      </c>
      <c r="F422" s="228"/>
      <c r="G422" s="228">
        <f>ROUND((C422*(E422)),2)</f>
        <v>950</v>
      </c>
      <c r="H422" s="228"/>
      <c r="I422" s="228"/>
    </row>
    <row r="423" spans="1:9" s="229" customFormat="1" ht="11.25" outlineLevel="1" x14ac:dyDescent="0.2">
      <c r="A423" s="224"/>
      <c r="B423" s="237"/>
      <c r="C423" s="226"/>
      <c r="D423" s="227"/>
      <c r="E423" s="228"/>
      <c r="F423" s="228"/>
      <c r="G423" s="228"/>
      <c r="H423" s="228"/>
      <c r="I423" s="228"/>
    </row>
    <row r="424" spans="1:9" s="229" customFormat="1" ht="11.25" outlineLevel="1" x14ac:dyDescent="0.2">
      <c r="A424" s="224"/>
      <c r="B424" s="225" t="s">
        <v>146</v>
      </c>
      <c r="C424" s="226"/>
      <c r="D424" s="227"/>
      <c r="E424" s="228"/>
      <c r="F424" s="228"/>
      <c r="G424" s="228">
        <f>SUM(G410:G422)</f>
        <v>2096.08</v>
      </c>
      <c r="H424" s="228">
        <f>SUM(H410:H421)</f>
        <v>206.28</v>
      </c>
      <c r="I424" s="228">
        <f>SUM(G424:H424)</f>
        <v>2302.36</v>
      </c>
    </row>
    <row r="425" spans="1:9" s="229" customFormat="1" ht="11.25" x14ac:dyDescent="0.2">
      <c r="A425" s="224"/>
      <c r="B425" s="225"/>
      <c r="C425" s="226"/>
      <c r="D425" s="227"/>
      <c r="E425" s="228"/>
      <c r="F425" s="228"/>
      <c r="G425" s="228"/>
      <c r="H425" s="228"/>
      <c r="I425" s="228"/>
    </row>
    <row r="426" spans="1:9" x14ac:dyDescent="0.2">
      <c r="A426" s="216"/>
      <c r="B426" s="217"/>
      <c r="C426" s="9"/>
      <c r="D426" s="218"/>
      <c r="E426" s="2"/>
      <c r="I426" s="2"/>
    </row>
    <row r="427" spans="1:9" ht="15" x14ac:dyDescent="0.2">
      <c r="A427" s="214">
        <v>8</v>
      </c>
      <c r="B427" s="215" t="s">
        <v>28</v>
      </c>
      <c r="C427" s="300"/>
      <c r="D427" s="301"/>
      <c r="E427" s="2"/>
      <c r="I427" s="2"/>
    </row>
    <row r="428" spans="1:9" x14ac:dyDescent="0.2">
      <c r="A428" s="216">
        <f>0.1+A427</f>
        <v>8.1</v>
      </c>
      <c r="B428" s="217" t="s">
        <v>57</v>
      </c>
      <c r="C428" s="300">
        <v>4775</v>
      </c>
      <c r="D428" s="301" t="s">
        <v>12</v>
      </c>
      <c r="E428" s="2"/>
      <c r="H428" s="2"/>
      <c r="I428" s="2"/>
    </row>
    <row r="429" spans="1:9" s="222" customFormat="1" ht="12.75" x14ac:dyDescent="0.2">
      <c r="B429" s="302"/>
      <c r="C429" s="303"/>
      <c r="D429" s="303"/>
      <c r="E429" s="304"/>
      <c r="F429" s="304"/>
      <c r="G429" s="304"/>
      <c r="H429" s="304"/>
      <c r="I429" s="305"/>
    </row>
    <row r="430" spans="1:9" s="222" customFormat="1" ht="15.75" x14ac:dyDescent="0.25">
      <c r="B430" s="306" t="s">
        <v>282</v>
      </c>
      <c r="C430" s="303"/>
      <c r="D430" s="303"/>
      <c r="E430" s="304"/>
      <c r="F430" s="304"/>
      <c r="G430" s="304"/>
      <c r="H430" s="304"/>
      <c r="I430" s="305"/>
    </row>
    <row r="431" spans="1:9" s="222" customFormat="1" ht="18" x14ac:dyDescent="0.4">
      <c r="B431" s="291" t="s">
        <v>250</v>
      </c>
      <c r="C431" s="292" t="s">
        <v>251</v>
      </c>
      <c r="D431" s="292" t="s">
        <v>252</v>
      </c>
      <c r="E431" s="264"/>
      <c r="F431" s="264"/>
      <c r="G431" s="264"/>
      <c r="H431" s="264"/>
      <c r="I431" s="264"/>
    </row>
    <row r="432" spans="1:9" s="222" customFormat="1" ht="15.75" x14ac:dyDescent="0.25">
      <c r="B432" s="264" t="s">
        <v>270</v>
      </c>
      <c r="C432" s="264">
        <v>586.04999999999995</v>
      </c>
      <c r="D432" s="264">
        <v>2</v>
      </c>
      <c r="E432" s="264">
        <f>+C432*D432</f>
        <v>1172.0999999999999</v>
      </c>
      <c r="F432" s="264"/>
      <c r="G432" s="264"/>
      <c r="H432" s="264"/>
      <c r="I432" s="264"/>
    </row>
    <row r="433" spans="1:9" s="222" customFormat="1" ht="15.75" x14ac:dyDescent="0.25">
      <c r="B433" s="264" t="s">
        <v>271</v>
      </c>
      <c r="C433" s="264">
        <v>580</v>
      </c>
      <c r="D433" s="264">
        <v>1</v>
      </c>
      <c r="E433" s="264">
        <f t="shared" ref="E433:E438" si="23">+C433*D433</f>
        <v>580</v>
      </c>
      <c r="F433" s="264"/>
      <c r="G433" s="264"/>
      <c r="H433" s="264"/>
      <c r="I433" s="264"/>
    </row>
    <row r="434" spans="1:9" s="222" customFormat="1" ht="15.75" x14ac:dyDescent="0.25">
      <c r="B434" s="264" t="s">
        <v>272</v>
      </c>
      <c r="C434" s="264">
        <v>658.32</v>
      </c>
      <c r="D434" s="264">
        <v>2</v>
      </c>
      <c r="E434" s="264">
        <f t="shared" si="23"/>
        <v>1316.64</v>
      </c>
      <c r="F434" s="264"/>
      <c r="G434" s="264"/>
      <c r="H434" s="264"/>
      <c r="I434" s="264"/>
    </row>
    <row r="435" spans="1:9" s="222" customFormat="1" ht="15.75" x14ac:dyDescent="0.25">
      <c r="B435" s="264" t="s">
        <v>273</v>
      </c>
      <c r="C435" s="264">
        <v>6769.6</v>
      </c>
      <c r="D435" s="264">
        <v>1</v>
      </c>
      <c r="E435" s="264">
        <f t="shared" si="23"/>
        <v>6769.6</v>
      </c>
      <c r="F435" s="264"/>
      <c r="G435" s="264"/>
      <c r="H435" s="264"/>
      <c r="I435" s="264"/>
    </row>
    <row r="436" spans="1:9" s="222" customFormat="1" ht="15.75" x14ac:dyDescent="0.25">
      <c r="B436" s="264" t="s">
        <v>274</v>
      </c>
      <c r="C436" s="264">
        <v>950</v>
      </c>
      <c r="D436" s="264">
        <v>1</v>
      </c>
      <c r="E436" s="264">
        <f t="shared" si="23"/>
        <v>950</v>
      </c>
      <c r="F436" s="264"/>
      <c r="G436" s="264"/>
      <c r="H436" s="264"/>
      <c r="I436" s="264"/>
    </row>
    <row r="437" spans="1:9" s="222" customFormat="1" ht="15.75" x14ac:dyDescent="0.25">
      <c r="B437" s="264" t="s">
        <v>275</v>
      </c>
      <c r="C437" s="264">
        <v>3800</v>
      </c>
      <c r="D437" s="264">
        <v>2</v>
      </c>
      <c r="E437" s="264">
        <f t="shared" si="23"/>
        <v>7600</v>
      </c>
      <c r="F437" s="264"/>
      <c r="G437" s="264"/>
      <c r="H437" s="264"/>
      <c r="I437" s="264"/>
    </row>
    <row r="438" spans="1:9" s="222" customFormat="1" ht="15.75" x14ac:dyDescent="0.25">
      <c r="B438" s="264" t="s">
        <v>276</v>
      </c>
      <c r="C438" s="264">
        <v>7420</v>
      </c>
      <c r="D438" s="264">
        <v>2</v>
      </c>
      <c r="E438" s="264">
        <f t="shared" si="23"/>
        <v>14840</v>
      </c>
      <c r="F438" s="307" t="s">
        <v>277</v>
      </c>
      <c r="G438" s="264"/>
      <c r="H438" s="264"/>
      <c r="I438" s="264"/>
    </row>
    <row r="439" spans="1:9" s="222" customFormat="1" ht="15.75" x14ac:dyDescent="0.25">
      <c r="B439" s="264"/>
      <c r="C439" s="264"/>
      <c r="D439" s="264"/>
      <c r="E439" s="264">
        <f>SUM(E432:E437)</f>
        <v>18388.34</v>
      </c>
      <c r="F439" s="222">
        <v>3</v>
      </c>
      <c r="G439" s="264">
        <f>+E439/F439</f>
        <v>6129.45</v>
      </c>
      <c r="H439" s="264"/>
      <c r="I439" s="264"/>
    </row>
    <row r="440" spans="1:9" s="222" customFormat="1" ht="15.75" x14ac:dyDescent="0.25">
      <c r="B440" s="308" t="s">
        <v>243</v>
      </c>
      <c r="C440" s="264"/>
      <c r="D440" s="264"/>
      <c r="E440" s="264"/>
      <c r="F440" s="264"/>
      <c r="G440" s="264"/>
      <c r="H440" s="264"/>
      <c r="I440" s="264"/>
    </row>
    <row r="441" spans="1:9" s="222" customFormat="1" ht="15.75" x14ac:dyDescent="0.25">
      <c r="B441" s="264" t="s">
        <v>278</v>
      </c>
      <c r="C441" s="264">
        <v>6000</v>
      </c>
      <c r="D441" s="264">
        <v>1</v>
      </c>
      <c r="E441" s="264">
        <f>+C441*D441</f>
        <v>6000</v>
      </c>
      <c r="G441" s="264"/>
      <c r="H441" s="264"/>
      <c r="I441" s="264"/>
    </row>
    <row r="442" spans="1:9" s="222" customFormat="1" ht="15.75" x14ac:dyDescent="0.25">
      <c r="B442" s="264" t="s">
        <v>279</v>
      </c>
      <c r="C442" s="264">
        <v>1650</v>
      </c>
      <c r="D442" s="264">
        <v>1</v>
      </c>
      <c r="E442" s="264">
        <f>+C442*D442</f>
        <v>1650</v>
      </c>
      <c r="H442" s="264"/>
      <c r="I442" s="264"/>
    </row>
    <row r="443" spans="1:9" s="222" customFormat="1" ht="15.75" x14ac:dyDescent="0.25">
      <c r="B443" s="264" t="s">
        <v>280</v>
      </c>
      <c r="C443" s="264">
        <v>850</v>
      </c>
      <c r="D443" s="264">
        <v>2</v>
      </c>
      <c r="E443" s="264">
        <f>+D443*C443</f>
        <v>1700</v>
      </c>
      <c r="G443" s="264"/>
      <c r="H443" s="264"/>
      <c r="I443" s="264"/>
    </row>
    <row r="444" spans="1:9" s="222" customFormat="1" ht="15.75" x14ac:dyDescent="0.25">
      <c r="C444" s="264"/>
      <c r="F444" s="308"/>
      <c r="G444" s="264">
        <f>SUM(E441:E443)</f>
        <v>9350</v>
      </c>
      <c r="H444" s="264"/>
      <c r="I444" s="264"/>
    </row>
    <row r="445" spans="1:9" s="222" customFormat="1" ht="12.75" x14ac:dyDescent="0.2"/>
    <row r="446" spans="1:9" s="222" customFormat="1" ht="18" x14ac:dyDescent="0.4">
      <c r="B446" s="309" t="s">
        <v>281</v>
      </c>
      <c r="C446" s="310">
        <f>SUM(G439:G444)</f>
        <v>15479.45</v>
      </c>
      <c r="D446" s="311">
        <v>100</v>
      </c>
      <c r="E446" s="312">
        <f>+C446/D446</f>
        <v>154.79</v>
      </c>
    </row>
    <row r="447" spans="1:9" s="222" customFormat="1" ht="12.75" x14ac:dyDescent="0.2"/>
    <row r="448" spans="1:9" x14ac:dyDescent="0.2">
      <c r="A448" s="216">
        <f>0.1+A428</f>
        <v>8.1999999999999993</v>
      </c>
      <c r="B448" s="217" t="s">
        <v>58</v>
      </c>
      <c r="C448" s="300">
        <v>9340</v>
      </c>
      <c r="D448" s="301" t="s">
        <v>12</v>
      </c>
      <c r="E448" s="2"/>
      <c r="H448" s="2"/>
      <c r="I448" s="2"/>
    </row>
    <row r="449" spans="1:10" x14ac:dyDescent="0.2">
      <c r="A449" s="216"/>
      <c r="B449" s="217"/>
      <c r="C449" s="300"/>
      <c r="D449" s="301"/>
      <c r="E449" s="2"/>
      <c r="I449" s="2"/>
    </row>
    <row r="450" spans="1:10" ht="15" x14ac:dyDescent="0.2">
      <c r="A450" s="214">
        <v>9</v>
      </c>
      <c r="B450" s="215" t="s">
        <v>20</v>
      </c>
      <c r="C450" s="300"/>
      <c r="D450" s="301"/>
      <c r="E450" s="2"/>
      <c r="I450" s="2"/>
    </row>
    <row r="451" spans="1:10" ht="16.5" x14ac:dyDescent="0.2">
      <c r="A451" s="216">
        <f>0.1+A450</f>
        <v>9.1</v>
      </c>
      <c r="B451" s="217" t="s">
        <v>65</v>
      </c>
      <c r="C451" s="300">
        <v>66</v>
      </c>
      <c r="D451" s="218" t="s">
        <v>47</v>
      </c>
      <c r="E451" s="2"/>
      <c r="I451" s="2"/>
    </row>
    <row r="452" spans="1:10" s="229" customFormat="1" ht="11.25" collapsed="1" x14ac:dyDescent="0.2">
      <c r="A452" s="224"/>
      <c r="B452" s="225"/>
      <c r="C452" s="226"/>
      <c r="D452" s="227"/>
      <c r="E452" s="228"/>
      <c r="F452" s="228"/>
      <c r="G452" s="228"/>
      <c r="H452" s="228"/>
      <c r="I452" s="228"/>
    </row>
    <row r="453" spans="1:10" s="229" customFormat="1" ht="22.5" x14ac:dyDescent="0.2">
      <c r="A453" s="230"/>
      <c r="B453" s="231" t="s">
        <v>283</v>
      </c>
      <c r="C453" s="232">
        <v>1</v>
      </c>
      <c r="D453" s="233" t="s">
        <v>135</v>
      </c>
      <c r="E453" s="234"/>
      <c r="F453" s="234"/>
      <c r="G453" s="234">
        <f>+G461/C455</f>
        <v>1400</v>
      </c>
      <c r="H453" s="234">
        <f>+H461/C455</f>
        <v>259.32</v>
      </c>
      <c r="I453" s="235">
        <f>+I461/C455</f>
        <v>1659.32</v>
      </c>
      <c r="J453" s="36"/>
    </row>
    <row r="454" spans="1:10" s="229" customFormat="1" ht="11.25" outlineLevel="1" x14ac:dyDescent="0.2">
      <c r="A454" s="230"/>
      <c r="B454" s="225" t="s">
        <v>284</v>
      </c>
      <c r="C454" s="232"/>
      <c r="D454" s="233"/>
      <c r="E454" s="234"/>
      <c r="F454" s="234"/>
      <c r="G454" s="234"/>
      <c r="H454" s="234"/>
      <c r="I454" s="235"/>
      <c r="J454" s="236"/>
    </row>
    <row r="455" spans="1:10" s="229" customFormat="1" ht="11.25" outlineLevel="1" x14ac:dyDescent="0.2">
      <c r="A455" s="230"/>
      <c r="B455" s="237" t="s">
        <v>137</v>
      </c>
      <c r="C455" s="226">
        <v>1</v>
      </c>
      <c r="D455" s="227" t="s">
        <v>135</v>
      </c>
      <c r="E455" s="234"/>
      <c r="F455" s="234"/>
      <c r="G455" s="234"/>
      <c r="H455" s="234"/>
      <c r="I455" s="235"/>
      <c r="J455" s="236"/>
    </row>
    <row r="456" spans="1:10" s="229" customFormat="1" ht="11.25" outlineLevel="1" x14ac:dyDescent="0.2">
      <c r="A456" s="230"/>
      <c r="B456" s="237" t="s">
        <v>138</v>
      </c>
      <c r="C456" s="226"/>
      <c r="D456" s="227"/>
      <c r="E456" s="234"/>
      <c r="F456" s="234"/>
      <c r="G456" s="234"/>
      <c r="H456" s="234"/>
      <c r="I456" s="235"/>
      <c r="J456" s="236"/>
    </row>
    <row r="457" spans="1:10" s="229" customFormat="1" ht="11.25" outlineLevel="1" x14ac:dyDescent="0.2">
      <c r="A457" s="230"/>
      <c r="B457" s="225" t="s">
        <v>285</v>
      </c>
      <c r="C457" s="226">
        <v>0.5</v>
      </c>
      <c r="D457" s="238" t="s">
        <v>140</v>
      </c>
      <c r="E457" s="234"/>
      <c r="F457" s="234"/>
      <c r="G457" s="234"/>
      <c r="H457" s="234"/>
      <c r="I457" s="235"/>
      <c r="J457" s="236"/>
    </row>
    <row r="458" spans="1:10" s="229" customFormat="1" ht="11.25" outlineLevel="1" x14ac:dyDescent="0.2">
      <c r="A458" s="224"/>
      <c r="B458" s="237" t="s">
        <v>141</v>
      </c>
      <c r="C458" s="226"/>
      <c r="D458" s="227"/>
      <c r="E458" s="228"/>
      <c r="F458" s="228"/>
      <c r="G458" s="228"/>
      <c r="H458" s="228"/>
      <c r="I458" s="228"/>
    </row>
    <row r="459" spans="1:10" s="229" customFormat="1" ht="11.25" outlineLevel="1" x14ac:dyDescent="0.2">
      <c r="A459" s="224"/>
      <c r="B459" s="225" t="s">
        <v>286</v>
      </c>
      <c r="C459" s="226">
        <v>1</v>
      </c>
      <c r="D459" s="227" t="s">
        <v>143</v>
      </c>
      <c r="E459" s="228">
        <v>1100</v>
      </c>
      <c r="F459" s="228">
        <v>259.32</v>
      </c>
      <c r="G459" s="228">
        <f>ROUND((C459*(E459)),2)</f>
        <v>1100</v>
      </c>
      <c r="H459" s="228">
        <f>ROUND((C459*(F459)),2)</f>
        <v>259.32</v>
      </c>
      <c r="I459" s="228"/>
    </row>
    <row r="460" spans="1:10" s="229" customFormat="1" ht="11.25" outlineLevel="1" x14ac:dyDescent="0.2">
      <c r="A460" s="224"/>
      <c r="B460" s="225" t="s">
        <v>144</v>
      </c>
      <c r="C460" s="226">
        <v>0.2</v>
      </c>
      <c r="D460" s="227" t="s">
        <v>145</v>
      </c>
      <c r="E460" s="228">
        <v>1500</v>
      </c>
      <c r="F460" s="228">
        <v>0</v>
      </c>
      <c r="G460" s="228">
        <f>ROUND((C460*(E460)),2)</f>
        <v>300</v>
      </c>
      <c r="H460" s="228">
        <f>ROUND((C460*(F460)),2)</f>
        <v>0</v>
      </c>
      <c r="I460" s="228"/>
    </row>
    <row r="461" spans="1:10" s="229" customFormat="1" ht="11.25" outlineLevel="1" x14ac:dyDescent="0.2">
      <c r="A461" s="224"/>
      <c r="B461" s="225" t="s">
        <v>146</v>
      </c>
      <c r="C461" s="226"/>
      <c r="D461" s="227"/>
      <c r="E461" s="228"/>
      <c r="F461" s="228"/>
      <c r="G461" s="228">
        <f>SUM(G459:G460)</f>
        <v>1400</v>
      </c>
      <c r="H461" s="228">
        <f>SUM(H459:H460)</f>
        <v>259.32</v>
      </c>
      <c r="I461" s="228">
        <f>SUM(G461:H461)</f>
        <v>1659.32</v>
      </c>
    </row>
    <row r="462" spans="1:10" s="229" customFormat="1" ht="11.25" x14ac:dyDescent="0.2">
      <c r="A462" s="224"/>
      <c r="B462" s="225"/>
      <c r="C462" s="226"/>
      <c r="D462" s="227"/>
      <c r="E462" s="228"/>
      <c r="F462" s="228"/>
      <c r="G462" s="228"/>
      <c r="H462" s="228"/>
      <c r="I462" s="228"/>
    </row>
    <row r="463" spans="1:10" ht="16.5" x14ac:dyDescent="0.2">
      <c r="A463" s="216">
        <f>0.1+A451</f>
        <v>9.1999999999999993</v>
      </c>
      <c r="B463" s="217" t="s">
        <v>66</v>
      </c>
      <c r="C463" s="300">
        <v>85.8</v>
      </c>
      <c r="D463" s="218" t="s">
        <v>47</v>
      </c>
      <c r="E463" s="2"/>
      <c r="I463" s="2"/>
    </row>
    <row r="464" spans="1:10" s="251" customFormat="1" ht="12.75" x14ac:dyDescent="0.2">
      <c r="A464" s="37"/>
      <c r="B464" s="285" t="s">
        <v>357</v>
      </c>
      <c r="C464" s="237">
        <v>1</v>
      </c>
      <c r="D464" s="237" t="s">
        <v>32</v>
      </c>
      <c r="E464" s="313">
        <f>1.08*I172</f>
        <v>285.89999999999998</v>
      </c>
      <c r="F464" s="237"/>
      <c r="G464" s="237"/>
    </row>
    <row r="465" spans="1:9" x14ac:dyDescent="0.2">
      <c r="A465" s="216"/>
      <c r="B465" s="217"/>
      <c r="C465" s="300"/>
      <c r="D465" s="301"/>
      <c r="E465" s="2"/>
      <c r="I465" s="2"/>
    </row>
    <row r="466" spans="1:9" ht="15" x14ac:dyDescent="0.2">
      <c r="A466" s="214">
        <v>10</v>
      </c>
      <c r="B466" s="215" t="s">
        <v>29</v>
      </c>
      <c r="C466" s="300"/>
      <c r="D466" s="301"/>
      <c r="E466" s="2"/>
      <c r="I466" s="2"/>
    </row>
    <row r="467" spans="1:9" ht="16.5" x14ac:dyDescent="0.2">
      <c r="A467" s="216">
        <f>0.1+A466</f>
        <v>10.1</v>
      </c>
      <c r="B467" s="217" t="s">
        <v>89</v>
      </c>
      <c r="C467" s="300">
        <v>600</v>
      </c>
      <c r="D467" s="218" t="s">
        <v>48</v>
      </c>
      <c r="E467" s="2"/>
      <c r="G467" s="2"/>
      <c r="I467" s="2"/>
    </row>
    <row r="468" spans="1:9" s="222" customFormat="1" ht="12.75" x14ac:dyDescent="0.2"/>
    <row r="469" spans="1:9" s="222" customFormat="1" ht="24" x14ac:dyDescent="0.2">
      <c r="B469" s="314" t="s">
        <v>287</v>
      </c>
      <c r="C469" s="303">
        <v>1</v>
      </c>
      <c r="D469" s="303" t="s">
        <v>247</v>
      </c>
      <c r="E469" s="304"/>
      <c r="F469" s="304"/>
      <c r="G469" s="304">
        <f>+G479/C472</f>
        <v>10506.45</v>
      </c>
      <c r="H469" s="304">
        <f>+H479/C472</f>
        <v>1420.96</v>
      </c>
      <c r="I469" s="305">
        <f>+H469+G469</f>
        <v>11927.41</v>
      </c>
    </row>
    <row r="470" spans="1:9" s="222" customFormat="1" ht="12.75" x14ac:dyDescent="0.2">
      <c r="B470" s="314"/>
      <c r="C470" s="303">
        <v>1</v>
      </c>
      <c r="D470" s="303" t="s">
        <v>288</v>
      </c>
      <c r="E470" s="304"/>
      <c r="F470" s="304"/>
      <c r="G470" s="304">
        <f>+G469/10</f>
        <v>1050.6500000000001</v>
      </c>
      <c r="H470" s="304">
        <f>+H469/10</f>
        <v>142.1</v>
      </c>
      <c r="I470" s="305">
        <f>+H470+G470</f>
        <v>1192.75</v>
      </c>
    </row>
    <row r="471" spans="1:9" s="222" customFormat="1" ht="12.75" x14ac:dyDescent="0.2">
      <c r="B471" s="285"/>
      <c r="C471" s="303"/>
      <c r="D471" s="303"/>
      <c r="E471" s="304"/>
      <c r="F471" s="304"/>
      <c r="G471" s="304"/>
      <c r="H471" s="304"/>
      <c r="I471" s="305"/>
    </row>
    <row r="472" spans="1:9" s="222" customFormat="1" ht="12.75" x14ac:dyDescent="0.2">
      <c r="B472" s="302" t="s">
        <v>289</v>
      </c>
      <c r="C472" s="286">
        <v>1</v>
      </c>
      <c r="D472" s="286" t="s">
        <v>247</v>
      </c>
      <c r="E472" s="304"/>
      <c r="F472" s="304"/>
      <c r="G472" s="304"/>
      <c r="H472" s="304"/>
      <c r="I472" s="305"/>
    </row>
    <row r="473" spans="1:9" s="222" customFormat="1" ht="12.75" x14ac:dyDescent="0.2">
      <c r="B473" s="302" t="s">
        <v>141</v>
      </c>
      <c r="C473" s="286"/>
      <c r="D473" s="286"/>
      <c r="E473" s="315"/>
      <c r="F473" s="315"/>
      <c r="G473" s="315"/>
      <c r="H473" s="315"/>
      <c r="I473" s="315"/>
    </row>
    <row r="474" spans="1:9" s="222" customFormat="1" ht="12.75" x14ac:dyDescent="0.2">
      <c r="B474" s="285" t="s">
        <v>290</v>
      </c>
      <c r="C474" s="286">
        <v>0.11</v>
      </c>
      <c r="D474" s="286" t="s">
        <v>291</v>
      </c>
      <c r="E474" s="315">
        <v>16681</v>
      </c>
      <c r="F474" s="315">
        <v>3002.64</v>
      </c>
      <c r="G474" s="315">
        <f>ROUND((C474*(E474)),2)</f>
        <v>1834.91</v>
      </c>
      <c r="H474" s="315">
        <f>ROUND((C474*(F474)),2)</f>
        <v>330.29</v>
      </c>
      <c r="I474" s="315"/>
    </row>
    <row r="475" spans="1:9" s="222" customFormat="1" ht="12.75" x14ac:dyDescent="0.2">
      <c r="B475" s="285" t="s">
        <v>292</v>
      </c>
      <c r="C475" s="286">
        <f>+C472*1.1</f>
        <v>1.1000000000000001</v>
      </c>
      <c r="D475" s="286" t="s">
        <v>247</v>
      </c>
      <c r="E475" s="315">
        <v>6217.76</v>
      </c>
      <c r="F475" s="315">
        <v>991.52</v>
      </c>
      <c r="G475" s="315">
        <f>ROUND((C475*(E475)),2)</f>
        <v>6839.54</v>
      </c>
      <c r="H475" s="315">
        <f>ROUND((C475*(F475)),2)</f>
        <v>1090.67</v>
      </c>
      <c r="I475" s="315"/>
    </row>
    <row r="476" spans="1:9" s="222" customFormat="1" ht="12.75" x14ac:dyDescent="0.2">
      <c r="B476" s="302" t="s">
        <v>210</v>
      </c>
      <c r="C476" s="286"/>
      <c r="D476" s="286"/>
      <c r="E476" s="315"/>
      <c r="F476" s="315"/>
      <c r="G476" s="315"/>
      <c r="H476" s="315"/>
      <c r="I476" s="315"/>
    </row>
    <row r="477" spans="1:9" s="222" customFormat="1" ht="12.75" x14ac:dyDescent="0.2">
      <c r="B477" s="285" t="s">
        <v>293</v>
      </c>
      <c r="C477" s="286">
        <f>+C478*0.01</f>
        <v>0.1</v>
      </c>
      <c r="D477" s="286" t="s">
        <v>212</v>
      </c>
      <c r="E477" s="315">
        <v>847</v>
      </c>
      <c r="F477" s="315">
        <v>0</v>
      </c>
      <c r="G477" s="315">
        <f>ROUND((C477*(E477)),2)</f>
        <v>84.7</v>
      </c>
      <c r="H477" s="315">
        <f>ROUND((C477*(F477)),2)</f>
        <v>0</v>
      </c>
      <c r="I477" s="315"/>
    </row>
    <row r="478" spans="1:9" s="222" customFormat="1" ht="12.75" x14ac:dyDescent="0.2">
      <c r="B478" s="316" t="s">
        <v>294</v>
      </c>
      <c r="C478" s="286">
        <v>10</v>
      </c>
      <c r="D478" s="286" t="s">
        <v>288</v>
      </c>
      <c r="E478" s="228">
        <v>174.73</v>
      </c>
      <c r="F478" s="228">
        <v>0</v>
      </c>
      <c r="G478" s="228">
        <f>ROUND((C478*(E478)),2)</f>
        <v>1747.3</v>
      </c>
      <c r="H478" s="228">
        <f>ROUND((C478*(F478)),2)</f>
        <v>0</v>
      </c>
      <c r="I478" s="228"/>
    </row>
    <row r="479" spans="1:9" s="222" customFormat="1" ht="12.75" x14ac:dyDescent="0.2">
      <c r="B479" s="316" t="s">
        <v>146</v>
      </c>
      <c r="C479" s="317"/>
      <c r="D479" s="318"/>
      <c r="E479" s="228"/>
      <c r="F479" s="228"/>
      <c r="G479" s="228">
        <f>SUM(G474:G478)</f>
        <v>10506.45</v>
      </c>
      <c r="H479" s="228">
        <f>SUM(H474:H478)</f>
        <v>1420.96</v>
      </c>
      <c r="I479" s="228">
        <f>SUM(G479:H479)</f>
        <v>11927.41</v>
      </c>
    </row>
    <row r="480" spans="1:9" s="222" customFormat="1" ht="12.75" x14ac:dyDescent="0.2"/>
    <row r="481" spans="1:14" x14ac:dyDescent="0.2">
      <c r="A481" s="216">
        <f>0.1+A467</f>
        <v>10.199999999999999</v>
      </c>
      <c r="B481" s="217" t="s">
        <v>67</v>
      </c>
      <c r="C481" s="300">
        <v>60</v>
      </c>
      <c r="D481" s="301" t="s">
        <v>12</v>
      </c>
      <c r="E481" s="2"/>
      <c r="I481" s="2"/>
    </row>
    <row r="482" spans="1:14" s="321" customFormat="1" ht="12" collapsed="1" x14ac:dyDescent="0.2">
      <c r="A482" s="319"/>
      <c r="B482" s="285"/>
      <c r="C482" s="286"/>
      <c r="D482" s="286"/>
      <c r="E482" s="315"/>
      <c r="F482" s="315"/>
      <c r="G482" s="315"/>
      <c r="H482" s="315"/>
      <c r="I482" s="315"/>
      <c r="J482" s="320"/>
    </row>
    <row r="483" spans="1:14" s="321" customFormat="1" ht="24" x14ac:dyDescent="0.2">
      <c r="A483" s="322"/>
      <c r="B483" s="314" t="s">
        <v>295</v>
      </c>
      <c r="C483" s="303">
        <v>1</v>
      </c>
      <c r="D483" s="303" t="s">
        <v>247</v>
      </c>
      <c r="E483" s="304"/>
      <c r="F483" s="304"/>
      <c r="G483" s="304">
        <f>+G493/C486</f>
        <v>8430.02</v>
      </c>
      <c r="H483" s="304">
        <f>+H493/C486</f>
        <v>1278.04</v>
      </c>
      <c r="I483" s="305">
        <f>+H483+G483</f>
        <v>9708.06</v>
      </c>
      <c r="J483" s="323"/>
    </row>
    <row r="484" spans="1:14" s="321" customFormat="1" ht="12" x14ac:dyDescent="0.2">
      <c r="A484" s="322"/>
      <c r="B484" s="314"/>
      <c r="C484" s="303">
        <v>1</v>
      </c>
      <c r="D484" s="303" t="s">
        <v>296</v>
      </c>
      <c r="E484" s="304"/>
      <c r="F484" s="304"/>
      <c r="G484" s="304">
        <f>+G483/C492</f>
        <v>1137.6500000000001</v>
      </c>
      <c r="H484" s="304">
        <f>+H483/C492</f>
        <v>172.48</v>
      </c>
      <c r="I484" s="305">
        <f>+H484+G484</f>
        <v>1310.1300000000001</v>
      </c>
      <c r="J484" s="323"/>
    </row>
    <row r="485" spans="1:14" s="321" customFormat="1" ht="12" outlineLevel="1" x14ac:dyDescent="0.2">
      <c r="A485" s="322"/>
      <c r="B485" s="285" t="s">
        <v>297</v>
      </c>
      <c r="C485" s="303"/>
      <c r="D485" s="303"/>
      <c r="E485" s="304"/>
      <c r="F485" s="304"/>
      <c r="G485" s="304"/>
      <c r="H485" s="304"/>
      <c r="I485" s="305"/>
      <c r="J485" s="323"/>
    </row>
    <row r="486" spans="1:14" s="321" customFormat="1" ht="12" outlineLevel="1" x14ac:dyDescent="0.2">
      <c r="A486" s="322"/>
      <c r="B486" s="302" t="s">
        <v>289</v>
      </c>
      <c r="C486" s="286">
        <v>1</v>
      </c>
      <c r="D486" s="286" t="s">
        <v>247</v>
      </c>
      <c r="E486" s="304"/>
      <c r="F486" s="304"/>
      <c r="G486" s="304"/>
      <c r="H486" s="304"/>
      <c r="I486" s="305"/>
      <c r="J486" s="323"/>
    </row>
    <row r="487" spans="1:14" s="321" customFormat="1" ht="12" outlineLevel="1" x14ac:dyDescent="0.2">
      <c r="A487" s="319"/>
      <c r="B487" s="302" t="s">
        <v>141</v>
      </c>
      <c r="C487" s="286"/>
      <c r="D487" s="286"/>
      <c r="E487" s="315"/>
      <c r="F487" s="315"/>
      <c r="G487" s="315"/>
      <c r="H487" s="315"/>
      <c r="I487" s="315"/>
      <c r="J487" s="320"/>
    </row>
    <row r="488" spans="1:14" s="321" customFormat="1" ht="12" outlineLevel="1" x14ac:dyDescent="0.2">
      <c r="A488" s="319"/>
      <c r="B488" s="285" t="s">
        <v>298</v>
      </c>
      <c r="C488" s="286">
        <v>2.4700000000000002</v>
      </c>
      <c r="D488" s="286" t="s">
        <v>145</v>
      </c>
      <c r="E488" s="315">
        <v>380</v>
      </c>
      <c r="F488" s="315">
        <v>55.19</v>
      </c>
      <c r="G488" s="315">
        <f>ROUND((C488*(E488)),2)</f>
        <v>938.6</v>
      </c>
      <c r="H488" s="315">
        <f>ROUND((C488*(F488)),2)</f>
        <v>136.32</v>
      </c>
      <c r="I488" s="315"/>
      <c r="J488" s="320"/>
    </row>
    <row r="489" spans="1:14" s="321" customFormat="1" ht="12" outlineLevel="1" x14ac:dyDescent="0.2">
      <c r="A489" s="319"/>
      <c r="B489" s="285" t="s">
        <v>299</v>
      </c>
      <c r="C489" s="286">
        <v>1.23</v>
      </c>
      <c r="D489" s="286" t="s">
        <v>300</v>
      </c>
      <c r="E489" s="315">
        <v>101.69</v>
      </c>
      <c r="F489" s="315">
        <v>18.3</v>
      </c>
      <c r="G489" s="315">
        <f>ROUND((C489*(E489)),2)</f>
        <v>125.08</v>
      </c>
      <c r="H489" s="315">
        <f>ROUND((C489*(F489)),2)</f>
        <v>22.51</v>
      </c>
      <c r="I489" s="315"/>
      <c r="J489" s="320"/>
    </row>
    <row r="490" spans="1:14" s="321" customFormat="1" ht="12" outlineLevel="1" x14ac:dyDescent="0.2">
      <c r="A490" s="319"/>
      <c r="B490" s="285" t="s">
        <v>246</v>
      </c>
      <c r="C490" s="286">
        <f>+C486*1.1</f>
        <v>1.1000000000000001</v>
      </c>
      <c r="D490" s="286" t="s">
        <v>247</v>
      </c>
      <c r="E490" s="315">
        <v>5652.54</v>
      </c>
      <c r="F490" s="315">
        <v>1017.46</v>
      </c>
      <c r="G490" s="315">
        <f>ROUND((C490*(E490)),2)</f>
        <v>6217.79</v>
      </c>
      <c r="H490" s="315">
        <f>ROUND((C490*(F490)),2)</f>
        <v>1119.21</v>
      </c>
      <c r="I490" s="315"/>
      <c r="J490" s="320"/>
    </row>
    <row r="491" spans="1:14" s="321" customFormat="1" ht="12" outlineLevel="1" x14ac:dyDescent="0.2">
      <c r="A491" s="319"/>
      <c r="B491" s="302" t="s">
        <v>210</v>
      </c>
      <c r="C491" s="286"/>
      <c r="D491" s="286"/>
      <c r="E491" s="315"/>
      <c r="F491" s="315"/>
      <c r="G491" s="315"/>
      <c r="H491" s="315"/>
      <c r="I491" s="315"/>
      <c r="J491" s="320"/>
    </row>
    <row r="492" spans="1:14" s="321" customFormat="1" ht="12" outlineLevel="1" x14ac:dyDescent="0.2">
      <c r="A492" s="319"/>
      <c r="B492" s="285" t="s">
        <v>301</v>
      </c>
      <c r="C492" s="286">
        <v>7.41</v>
      </c>
      <c r="D492" s="286" t="s">
        <v>296</v>
      </c>
      <c r="E492" s="315">
        <v>155</v>
      </c>
      <c r="F492" s="315">
        <v>0</v>
      </c>
      <c r="G492" s="315">
        <f>ROUND((C492*(E492)),2)</f>
        <v>1148.55</v>
      </c>
      <c r="H492" s="315">
        <f>ROUND((C492*(F492)),2)</f>
        <v>0</v>
      </c>
      <c r="I492" s="315"/>
      <c r="J492" s="320"/>
      <c r="N492" s="321" t="s">
        <v>384</v>
      </c>
    </row>
    <row r="493" spans="1:14" s="321" customFormat="1" ht="12" outlineLevel="1" x14ac:dyDescent="0.2">
      <c r="A493" s="319"/>
      <c r="B493" s="285" t="s">
        <v>146</v>
      </c>
      <c r="C493" s="286"/>
      <c r="D493" s="286"/>
      <c r="E493" s="315"/>
      <c r="F493" s="315"/>
      <c r="G493" s="315">
        <f>SUM(G488:G492)</f>
        <v>8430.02</v>
      </c>
      <c r="H493" s="315">
        <f>SUM(H488:H492)</f>
        <v>1278.04</v>
      </c>
      <c r="I493" s="315">
        <f>SUM(G493:H493)</f>
        <v>9708.06</v>
      </c>
      <c r="J493" s="320"/>
      <c r="N493" s="321">
        <f>7*370</f>
        <v>2590</v>
      </c>
    </row>
    <row r="494" spans="1:14" s="321" customFormat="1" ht="12" x14ac:dyDescent="0.2">
      <c r="A494" s="319"/>
      <c r="B494" s="285"/>
      <c r="C494" s="286"/>
      <c r="D494" s="286"/>
      <c r="E494" s="315"/>
      <c r="F494" s="315"/>
      <c r="G494" s="315"/>
      <c r="H494" s="315"/>
      <c r="I494" s="315"/>
      <c r="J494" s="320"/>
      <c r="N494" s="321">
        <f>1/N493</f>
        <v>3.8610038610038599E-4</v>
      </c>
    </row>
    <row r="495" spans="1:14" x14ac:dyDescent="0.2">
      <c r="A495" s="216"/>
      <c r="B495" s="217"/>
      <c r="C495" s="300"/>
      <c r="D495" s="301"/>
      <c r="E495" s="2"/>
      <c r="I495" s="2"/>
      <c r="N495" s="1">
        <f>370*7</f>
        <v>2590</v>
      </c>
    </row>
    <row r="496" spans="1:14" ht="15" x14ac:dyDescent="0.2">
      <c r="A496" s="214">
        <v>11</v>
      </c>
      <c r="B496" s="215" t="s">
        <v>22</v>
      </c>
      <c r="C496" s="300"/>
      <c r="D496" s="301"/>
      <c r="E496" s="2"/>
      <c r="I496" s="2"/>
      <c r="L496" s="1">
        <v>1</v>
      </c>
      <c r="M496" s="1">
        <v>370</v>
      </c>
      <c r="N496" s="1">
        <f>1/N495</f>
        <v>3.8610038610038599E-4</v>
      </c>
    </row>
    <row r="497" spans="1:14" x14ac:dyDescent="0.2">
      <c r="A497" s="216">
        <f>0.1+A496</f>
        <v>11.1</v>
      </c>
      <c r="B497" s="217" t="s">
        <v>68</v>
      </c>
      <c r="C497" s="300">
        <v>33960</v>
      </c>
      <c r="D497" s="301" t="s">
        <v>12</v>
      </c>
      <c r="E497" s="2"/>
      <c r="I497" s="2"/>
      <c r="L497" s="1">
        <v>3500</v>
      </c>
    </row>
    <row r="498" spans="1:14" s="321" customFormat="1" ht="12" collapsed="1" x14ac:dyDescent="0.2">
      <c r="A498" s="319"/>
      <c r="B498" s="285"/>
      <c r="C498" s="286"/>
      <c r="D498" s="286"/>
      <c r="E498" s="315"/>
      <c r="F498" s="315"/>
      <c r="G498" s="315"/>
      <c r="H498" s="315"/>
      <c r="I498" s="315"/>
      <c r="J498" s="320"/>
      <c r="L498" s="321">
        <f>L497/M496</f>
        <v>9.4594594594594597</v>
      </c>
      <c r="M498" s="321">
        <f>L496/M496</f>
        <v>2.7027027027026998E-3</v>
      </c>
    </row>
    <row r="499" spans="1:14" s="321" customFormat="1" ht="12" x14ac:dyDescent="0.2">
      <c r="A499" s="322"/>
      <c r="B499" s="314" t="s">
        <v>302</v>
      </c>
      <c r="C499" s="303">
        <v>1</v>
      </c>
      <c r="D499" s="303" t="s">
        <v>12</v>
      </c>
      <c r="E499" s="304"/>
      <c r="F499" s="304"/>
      <c r="G499" s="304">
        <f>+G507/C500</f>
        <v>41.81</v>
      </c>
      <c r="H499" s="304">
        <f>+H507/C500</f>
        <v>6.45</v>
      </c>
      <c r="I499" s="305">
        <f>+H499+G499</f>
        <v>48.26</v>
      </c>
      <c r="J499" s="323"/>
      <c r="L499" s="321">
        <f>M496/L497</f>
        <v>0.105714285714286</v>
      </c>
    </row>
    <row r="500" spans="1:14" s="321" customFormat="1" ht="12" outlineLevel="1" x14ac:dyDescent="0.2">
      <c r="A500" s="322"/>
      <c r="B500" s="302" t="s">
        <v>289</v>
      </c>
      <c r="C500" s="286">
        <v>1</v>
      </c>
      <c r="D500" s="286" t="s">
        <v>12</v>
      </c>
      <c r="E500" s="304"/>
      <c r="F500" s="304"/>
      <c r="G500" s="304"/>
      <c r="H500" s="304"/>
      <c r="I500" s="305"/>
      <c r="J500" s="323"/>
    </row>
    <row r="501" spans="1:14" s="321" customFormat="1" ht="12" outlineLevel="1" x14ac:dyDescent="0.2">
      <c r="A501" s="319"/>
      <c r="B501" s="302" t="s">
        <v>141</v>
      </c>
      <c r="C501" s="286"/>
      <c r="D501" s="286"/>
      <c r="E501" s="315"/>
      <c r="F501" s="315"/>
      <c r="G501" s="315"/>
      <c r="H501" s="315"/>
      <c r="I501" s="315"/>
      <c r="J501" s="320"/>
    </row>
    <row r="502" spans="1:14" s="321" customFormat="1" ht="12" outlineLevel="1" x14ac:dyDescent="0.2">
      <c r="A502" s="319"/>
      <c r="B502" s="324" t="s">
        <v>303</v>
      </c>
      <c r="C502" s="325">
        <v>3.8E-3</v>
      </c>
      <c r="D502" s="286" t="s">
        <v>304</v>
      </c>
      <c r="E502" s="315">
        <v>4150</v>
      </c>
      <c r="F502" s="315">
        <f>+E502*0.18</f>
        <v>747</v>
      </c>
      <c r="G502" s="315">
        <f>ROUND((C502*(E502)),2)</f>
        <v>15.77</v>
      </c>
      <c r="H502" s="315">
        <f>ROUND((C502*(F502)),2)</f>
        <v>2.84</v>
      </c>
      <c r="I502" s="315"/>
      <c r="J502" s="320"/>
    </row>
    <row r="503" spans="1:14" s="321" customFormat="1" ht="12" outlineLevel="1" x14ac:dyDescent="0.2">
      <c r="A503" s="319"/>
      <c r="B503" s="324" t="s">
        <v>305</v>
      </c>
      <c r="C503" s="325">
        <v>5.0000000000000001E-3</v>
      </c>
      <c r="D503" s="286" t="s">
        <v>306</v>
      </c>
      <c r="E503" s="315">
        <v>3500</v>
      </c>
      <c r="F503" s="315">
        <f t="shared" ref="F503:F504" si="24">+E503*0.18</f>
        <v>630</v>
      </c>
      <c r="G503" s="315">
        <f>ROUND((C503*(E503)),2)</f>
        <v>17.5</v>
      </c>
      <c r="H503" s="315">
        <f t="shared" ref="H503:H504" si="25">ROUND((C503*(F503)),2)</f>
        <v>3.15</v>
      </c>
      <c r="I503" s="315"/>
      <c r="J503" s="320"/>
      <c r="L503" s="321">
        <f>11092/7</f>
        <v>1584.57142857143</v>
      </c>
    </row>
    <row r="504" spans="1:14" s="321" customFormat="1" ht="12" outlineLevel="1" x14ac:dyDescent="0.2">
      <c r="A504" s="319"/>
      <c r="B504" s="324" t="s">
        <v>153</v>
      </c>
      <c r="C504" s="286">
        <v>0.01</v>
      </c>
      <c r="D504" s="286" t="s">
        <v>304</v>
      </c>
      <c r="E504" s="315">
        <v>254</v>
      </c>
      <c r="F504" s="315">
        <f t="shared" si="24"/>
        <v>45.72</v>
      </c>
      <c r="G504" s="315">
        <f t="shared" ref="G504" si="26">ROUND((C504*(E504)),2)</f>
        <v>2.54</v>
      </c>
      <c r="H504" s="315">
        <f t="shared" si="25"/>
        <v>0.46</v>
      </c>
      <c r="I504" s="315"/>
      <c r="J504" s="320"/>
      <c r="M504" s="321">
        <f>1/7</f>
        <v>0.14285714285714299</v>
      </c>
    </row>
    <row r="505" spans="1:14" s="321" customFormat="1" ht="12" outlineLevel="1" x14ac:dyDescent="0.2">
      <c r="A505" s="319"/>
      <c r="B505" s="302" t="s">
        <v>210</v>
      </c>
      <c r="C505" s="286"/>
      <c r="D505" s="286"/>
      <c r="E505" s="315"/>
      <c r="F505" s="315"/>
      <c r="G505" s="315"/>
      <c r="H505" s="315"/>
      <c r="I505" s="315"/>
      <c r="J505" s="320"/>
      <c r="L505" s="321" t="s">
        <v>385</v>
      </c>
      <c r="M505" s="321">
        <f>3*850</f>
        <v>2550</v>
      </c>
      <c r="N505" s="321">
        <f>700*3</f>
        <v>2100</v>
      </c>
    </row>
    <row r="506" spans="1:14" s="321" customFormat="1" ht="12" outlineLevel="1" x14ac:dyDescent="0.2">
      <c r="A506" s="319"/>
      <c r="B506" s="324" t="s">
        <v>307</v>
      </c>
      <c r="C506" s="286">
        <v>1</v>
      </c>
      <c r="D506" s="286" t="s">
        <v>308</v>
      </c>
      <c r="E506" s="315">
        <v>6</v>
      </c>
      <c r="F506" s="315">
        <v>0</v>
      </c>
      <c r="G506" s="315">
        <f>ROUND((C506*(E506)),2)</f>
        <v>6</v>
      </c>
      <c r="H506" s="315">
        <v>0</v>
      </c>
      <c r="I506" s="315"/>
      <c r="J506" s="320"/>
      <c r="L506" s="321" t="s">
        <v>386</v>
      </c>
      <c r="M506" s="321">
        <v>2000</v>
      </c>
      <c r="N506" s="321">
        <v>1000</v>
      </c>
    </row>
    <row r="507" spans="1:14" s="321" customFormat="1" ht="12" outlineLevel="1" x14ac:dyDescent="0.2">
      <c r="A507" s="319"/>
      <c r="B507" s="285" t="s">
        <v>146</v>
      </c>
      <c r="C507" s="286"/>
      <c r="D507" s="286"/>
      <c r="E507" s="315"/>
      <c r="F507" s="315"/>
      <c r="G507" s="315">
        <f>SUM(G502:G506)</f>
        <v>41.81</v>
      </c>
      <c r="H507" s="315">
        <f>SUM(H502:H506)</f>
        <v>6.45</v>
      </c>
      <c r="I507" s="315">
        <f>SUM(G507:H507)</f>
        <v>48.26</v>
      </c>
      <c r="J507" s="320"/>
      <c r="L507" s="321" t="s">
        <v>387</v>
      </c>
      <c r="M507" s="321">
        <f>M505+M506</f>
        <v>4550</v>
      </c>
      <c r="N507" s="321">
        <f>N505+N506</f>
        <v>3100</v>
      </c>
    </row>
    <row r="508" spans="1:14" s="321" customFormat="1" ht="12" x14ac:dyDescent="0.2">
      <c r="A508" s="319"/>
      <c r="B508" s="285"/>
      <c r="C508" s="286"/>
      <c r="D508" s="286"/>
      <c r="E508" s="315"/>
      <c r="F508" s="315"/>
      <c r="G508" s="315"/>
      <c r="H508" s="315"/>
      <c r="I508" s="315"/>
      <c r="J508" s="320"/>
      <c r="L508" s="321">
        <f>370*7</f>
        <v>2590</v>
      </c>
      <c r="M508" s="321">
        <f>M507/370</f>
        <v>12.2972972972973</v>
      </c>
      <c r="N508" s="321">
        <f>N507/370</f>
        <v>8.3783783783783807</v>
      </c>
    </row>
    <row r="509" spans="1:14" ht="16.5" x14ac:dyDescent="0.2">
      <c r="A509" s="216">
        <f>0.1+A497</f>
        <v>11.2</v>
      </c>
      <c r="B509" s="1" t="s">
        <v>83</v>
      </c>
      <c r="C509" s="300">
        <v>11359.25</v>
      </c>
      <c r="D509" s="218" t="s">
        <v>48</v>
      </c>
      <c r="E509" s="2"/>
      <c r="I509" s="2"/>
      <c r="L509" s="1">
        <f>1/L508</f>
        <v>3.8610038610038599E-4</v>
      </c>
    </row>
    <row r="510" spans="1:14" s="229" customFormat="1" ht="11.25" collapsed="1" x14ac:dyDescent="0.2">
      <c r="A510" s="224"/>
      <c r="B510" s="225"/>
      <c r="C510" s="226"/>
      <c r="D510" s="227"/>
      <c r="E510" s="228"/>
      <c r="F510" s="228"/>
      <c r="G510" s="228"/>
      <c r="H510" s="228"/>
      <c r="I510" s="228"/>
    </row>
    <row r="511" spans="1:14" s="229" customFormat="1" ht="11.25" x14ac:dyDescent="0.2">
      <c r="A511" s="230"/>
      <c r="B511" s="231" t="s">
        <v>309</v>
      </c>
      <c r="C511" s="232">
        <v>1</v>
      </c>
      <c r="D511" s="233" t="s">
        <v>12</v>
      </c>
      <c r="E511" s="234"/>
      <c r="F511" s="234"/>
      <c r="G511" s="234">
        <f>+G519/C513</f>
        <v>47.14</v>
      </c>
      <c r="H511" s="234">
        <f>+H519/C513</f>
        <v>3.81</v>
      </c>
      <c r="I511" s="235">
        <f>+I519/C513</f>
        <v>50.96</v>
      </c>
      <c r="J511" s="36"/>
    </row>
    <row r="512" spans="1:14" s="229" customFormat="1" ht="11.25" outlineLevel="1" x14ac:dyDescent="0.2">
      <c r="A512" s="230"/>
      <c r="B512" s="225"/>
      <c r="C512" s="232"/>
      <c r="D512" s="233"/>
      <c r="E512" s="234"/>
      <c r="F512" s="234"/>
      <c r="G512" s="234"/>
      <c r="H512" s="234"/>
      <c r="I512" s="235"/>
      <c r="J512" s="236"/>
    </row>
    <row r="513" spans="1:10" s="229" customFormat="1" ht="11.25" outlineLevel="1" x14ac:dyDescent="0.2">
      <c r="A513" s="230"/>
      <c r="B513" s="237" t="s">
        <v>137</v>
      </c>
      <c r="C513" s="226">
        <f>700*2</f>
        <v>1400</v>
      </c>
      <c r="D513" s="227" t="s">
        <v>12</v>
      </c>
      <c r="E513" s="234"/>
      <c r="F513" s="234"/>
      <c r="G513" s="234"/>
      <c r="H513" s="234"/>
      <c r="I513" s="235"/>
      <c r="J513" s="236"/>
    </row>
    <row r="514" spans="1:10" s="229" customFormat="1" ht="11.25" outlineLevel="1" x14ac:dyDescent="0.2">
      <c r="A514" s="230"/>
      <c r="B514" s="237" t="s">
        <v>138</v>
      </c>
      <c r="C514" s="226"/>
      <c r="D514" s="227"/>
      <c r="E514" s="234"/>
      <c r="F514" s="234"/>
      <c r="G514" s="234"/>
      <c r="H514" s="234"/>
      <c r="I514" s="235"/>
      <c r="J514" s="236"/>
    </row>
    <row r="515" spans="1:10" s="229" customFormat="1" ht="11.25" outlineLevel="1" x14ac:dyDescent="0.2">
      <c r="A515" s="230"/>
      <c r="B515" s="225" t="s">
        <v>139</v>
      </c>
      <c r="C515" s="226">
        <v>100</v>
      </c>
      <c r="D515" s="238" t="s">
        <v>310</v>
      </c>
      <c r="E515" s="234"/>
      <c r="F515" s="234"/>
      <c r="G515" s="234"/>
      <c r="H515" s="234"/>
      <c r="I515" s="235"/>
      <c r="J515" s="236"/>
    </row>
    <row r="516" spans="1:10" s="229" customFormat="1" ht="11.25" outlineLevel="1" x14ac:dyDescent="0.2">
      <c r="A516" s="224"/>
      <c r="B516" s="237" t="s">
        <v>141</v>
      </c>
      <c r="C516" s="226"/>
      <c r="D516" s="227"/>
      <c r="E516" s="228"/>
      <c r="F516" s="228"/>
      <c r="G516" s="228"/>
      <c r="H516" s="228"/>
      <c r="I516" s="228"/>
    </row>
    <row r="517" spans="1:10" s="229" customFormat="1" ht="11.25" outlineLevel="1" x14ac:dyDescent="0.2">
      <c r="A517" s="224"/>
      <c r="B517" s="225" t="s">
        <v>142</v>
      </c>
      <c r="C517" s="226">
        <f>ROUND((C513/C515),4)</f>
        <v>14</v>
      </c>
      <c r="D517" s="227" t="s">
        <v>143</v>
      </c>
      <c r="E517" s="228">
        <v>3000</v>
      </c>
      <c r="F517" s="228">
        <v>381.36</v>
      </c>
      <c r="G517" s="228">
        <f>ROUND((C517*(E517)),2)</f>
        <v>42000</v>
      </c>
      <c r="H517" s="228">
        <f>ROUND((C517*(F517)),2)</f>
        <v>5339.04</v>
      </c>
      <c r="I517" s="228"/>
    </row>
    <row r="518" spans="1:10" s="229" customFormat="1" ht="11.25" outlineLevel="1" x14ac:dyDescent="0.2">
      <c r="A518" s="224"/>
      <c r="B518" s="225" t="s">
        <v>144</v>
      </c>
      <c r="C518" s="226">
        <f>0.8*2</f>
        <v>1.6</v>
      </c>
      <c r="D518" s="227" t="s">
        <v>145</v>
      </c>
      <c r="E518" s="228">
        <v>15000</v>
      </c>
      <c r="F518" s="228">
        <v>0</v>
      </c>
      <c r="G518" s="228">
        <f>ROUND((C518*(E518)),2)</f>
        <v>24000</v>
      </c>
      <c r="H518" s="228">
        <f>ROUND((C518*(F518)),2)</f>
        <v>0</v>
      </c>
      <c r="I518" s="228"/>
    </row>
    <row r="519" spans="1:10" s="229" customFormat="1" ht="11.25" outlineLevel="1" x14ac:dyDescent="0.2">
      <c r="A519" s="224"/>
      <c r="B519" s="225" t="s">
        <v>146</v>
      </c>
      <c r="C519" s="226"/>
      <c r="D519" s="227"/>
      <c r="E519" s="228"/>
      <c r="F519" s="228"/>
      <c r="G519" s="228">
        <f>SUM(G517:G518)</f>
        <v>66000</v>
      </c>
      <c r="H519" s="228">
        <f>SUM(H517:H518)</f>
        <v>5339.04</v>
      </c>
      <c r="I519" s="228">
        <f>SUM(G519:H519)</f>
        <v>71339.039999999994</v>
      </c>
    </row>
    <row r="520" spans="1:10" s="229" customFormat="1" ht="11.25" x14ac:dyDescent="0.2">
      <c r="A520" s="224"/>
      <c r="B520" s="225"/>
      <c r="C520" s="226"/>
      <c r="D520" s="227"/>
      <c r="E520" s="228"/>
      <c r="F520" s="228"/>
      <c r="G520" s="228"/>
      <c r="H520" s="228"/>
      <c r="I520" s="228"/>
    </row>
    <row r="521" spans="1:10" ht="42.75" x14ac:dyDescent="0.2">
      <c r="A521" s="216">
        <f>0.1+A509</f>
        <v>11.3</v>
      </c>
      <c r="B521" s="243" t="s">
        <v>81</v>
      </c>
      <c r="C521" s="244">
        <v>763.26</v>
      </c>
      <c r="D521" s="223" t="s">
        <v>47</v>
      </c>
      <c r="E521" s="2"/>
      <c r="F521" s="2"/>
      <c r="I521" s="2"/>
    </row>
    <row r="522" spans="1:10" ht="28.5" x14ac:dyDescent="0.2">
      <c r="A522" s="216">
        <f>0.1+A521</f>
        <v>11.4</v>
      </c>
      <c r="B522" s="326" t="s">
        <v>90</v>
      </c>
      <c r="C522" s="300">
        <v>11359.25</v>
      </c>
      <c r="D522" s="218" t="s">
        <v>48</v>
      </c>
      <c r="E522" s="2"/>
      <c r="F522" s="2"/>
      <c r="I522" s="2"/>
    </row>
    <row r="523" spans="1:10" s="222" customFormat="1" ht="12.75" x14ac:dyDescent="0.2"/>
    <row r="524" spans="1:10" s="222" customFormat="1" ht="12.75" x14ac:dyDescent="0.2">
      <c r="B524" s="231" t="s">
        <v>311</v>
      </c>
      <c r="C524" s="232">
        <v>1</v>
      </c>
      <c r="D524" s="233" t="s">
        <v>288</v>
      </c>
      <c r="E524" s="234"/>
      <c r="F524" s="234"/>
      <c r="G524" s="234">
        <f>+G530/C526</f>
        <v>145</v>
      </c>
      <c r="H524" s="234">
        <f>+H530/C526</f>
        <v>21.05</v>
      </c>
      <c r="I524" s="235">
        <f>+I530/C526</f>
        <v>166.05</v>
      </c>
    </row>
    <row r="525" spans="1:10" s="222" customFormat="1" ht="22.5" x14ac:dyDescent="0.2">
      <c r="B525" s="225" t="s">
        <v>312</v>
      </c>
      <c r="C525" s="232"/>
      <c r="D525" s="233"/>
      <c r="E525" s="234"/>
      <c r="F525" s="234"/>
      <c r="G525" s="234"/>
      <c r="H525" s="234"/>
      <c r="I525" s="235"/>
    </row>
    <row r="526" spans="1:10" s="222" customFormat="1" ht="12.75" x14ac:dyDescent="0.2">
      <c r="B526" s="237" t="s">
        <v>137</v>
      </c>
      <c r="C526" s="226">
        <v>3000</v>
      </c>
      <c r="D526" s="227" t="s">
        <v>288</v>
      </c>
      <c r="E526" s="234"/>
      <c r="F526" s="234"/>
      <c r="G526" s="234"/>
      <c r="H526" s="234"/>
      <c r="I526" s="235"/>
    </row>
    <row r="527" spans="1:10" s="222" customFormat="1" ht="12.75" x14ac:dyDescent="0.2">
      <c r="B527" s="225" t="s">
        <v>207</v>
      </c>
      <c r="C527" s="226">
        <v>1.25</v>
      </c>
      <c r="D527" s="238"/>
      <c r="E527" s="234"/>
      <c r="F527" s="234"/>
      <c r="G527" s="234"/>
      <c r="H527" s="234"/>
      <c r="I527" s="235"/>
    </row>
    <row r="528" spans="1:10" s="222" customFormat="1" ht="12.75" x14ac:dyDescent="0.2">
      <c r="B528" s="237" t="s">
        <v>141</v>
      </c>
      <c r="C528" s="226"/>
      <c r="D528" s="227"/>
      <c r="E528" s="228"/>
      <c r="F528" s="228"/>
      <c r="G528" s="228"/>
      <c r="H528" s="228"/>
      <c r="I528" s="228"/>
    </row>
    <row r="529" spans="1:9" s="222" customFormat="1" ht="12.75" x14ac:dyDescent="0.2">
      <c r="B529" s="225" t="s">
        <v>313</v>
      </c>
      <c r="C529" s="226">
        <f>+C526</f>
        <v>3000</v>
      </c>
      <c r="D529" s="227" t="s">
        <v>288</v>
      </c>
      <c r="E529" s="228">
        <v>145</v>
      </c>
      <c r="F529" s="228">
        <v>21.05</v>
      </c>
      <c r="G529" s="228">
        <f t="shared" ref="G529" si="27">ROUND((C529*(E529)),2)</f>
        <v>435000</v>
      </c>
      <c r="H529" s="228">
        <f>ROUND((C529*(F529)),2)</f>
        <v>63150</v>
      </c>
      <c r="I529" s="228"/>
    </row>
    <row r="530" spans="1:9" s="222" customFormat="1" ht="12.75" x14ac:dyDescent="0.2">
      <c r="B530" s="316" t="s">
        <v>146</v>
      </c>
      <c r="C530" s="317"/>
      <c r="D530" s="318"/>
      <c r="E530" s="228"/>
      <c r="F530" s="228"/>
      <c r="G530" s="228">
        <f>SUM(G529:G529)</f>
        <v>435000</v>
      </c>
      <c r="H530" s="228">
        <f>SUM(H529:H529)</f>
        <v>63150</v>
      </c>
      <c r="I530" s="228">
        <f>SUM(G530:H530)</f>
        <v>498150</v>
      </c>
    </row>
    <row r="531" spans="1:9" s="222" customFormat="1" ht="12.75" x14ac:dyDescent="0.2"/>
    <row r="532" spans="1:9" ht="42.75" x14ac:dyDescent="0.2">
      <c r="A532" s="216">
        <f>0.1+A522</f>
        <v>11.5</v>
      </c>
      <c r="B532" s="326" t="s">
        <v>82</v>
      </c>
      <c r="C532" s="244">
        <v>14199.06</v>
      </c>
      <c r="D532" s="218" t="s">
        <v>48</v>
      </c>
      <c r="E532" s="2"/>
      <c r="F532" s="2"/>
      <c r="G532" s="2"/>
      <c r="I532" s="2"/>
    </row>
    <row r="533" spans="1:9" s="222" customFormat="1" ht="12.75" x14ac:dyDescent="0.2"/>
    <row r="534" spans="1:9" s="222" customFormat="1" ht="12.75" x14ac:dyDescent="0.2">
      <c r="B534" s="231" t="s">
        <v>314</v>
      </c>
      <c r="C534" s="232">
        <v>1</v>
      </c>
      <c r="D534" s="233" t="s">
        <v>288</v>
      </c>
      <c r="E534" s="234"/>
      <c r="F534" s="234"/>
      <c r="G534" s="234">
        <f>+G546/C536</f>
        <v>507.02</v>
      </c>
      <c r="H534" s="234">
        <f>+H546/C536</f>
        <v>90.61</v>
      </c>
      <c r="I534" s="235">
        <f>+I546/C536</f>
        <v>597.63</v>
      </c>
    </row>
    <row r="535" spans="1:9" s="222" customFormat="1" ht="22.5" x14ac:dyDescent="0.2">
      <c r="B535" s="225" t="s">
        <v>312</v>
      </c>
      <c r="C535" s="232">
        <v>1</v>
      </c>
      <c r="D535" s="233" t="s">
        <v>174</v>
      </c>
      <c r="E535" s="234"/>
      <c r="F535" s="234"/>
      <c r="G535" s="234">
        <f>+G546/C539</f>
        <v>6000.28</v>
      </c>
      <c r="H535" s="234">
        <f>+H546/C539</f>
        <v>1072.27</v>
      </c>
      <c r="I535" s="235">
        <f>+H535+G535</f>
        <v>7072.55</v>
      </c>
    </row>
    <row r="536" spans="1:9" s="222" customFormat="1" ht="12.75" x14ac:dyDescent="0.2">
      <c r="B536" s="237" t="s">
        <v>137</v>
      </c>
      <c r="C536" s="226">
        <v>2000</v>
      </c>
      <c r="D536" s="227" t="s">
        <v>288</v>
      </c>
      <c r="E536" s="234"/>
      <c r="F536" s="234"/>
      <c r="G536" s="234"/>
      <c r="H536" s="234"/>
      <c r="I536" s="235"/>
    </row>
    <row r="537" spans="1:9" s="222" customFormat="1" ht="12.75" x14ac:dyDescent="0.2">
      <c r="B537" s="225" t="s">
        <v>207</v>
      </c>
      <c r="C537" s="226">
        <v>1.25</v>
      </c>
      <c r="D537" s="238"/>
      <c r="E537" s="234"/>
      <c r="F537" s="234"/>
      <c r="G537" s="234"/>
      <c r="H537" s="234"/>
      <c r="I537" s="235"/>
    </row>
    <row r="538" spans="1:9" s="222" customFormat="1" ht="12.75" x14ac:dyDescent="0.2">
      <c r="B538" s="237" t="s">
        <v>141</v>
      </c>
      <c r="C538" s="226"/>
      <c r="D538" s="227"/>
      <c r="E538" s="228"/>
      <c r="F538" s="228"/>
      <c r="G538" s="228"/>
      <c r="H538" s="228"/>
      <c r="I538" s="228"/>
    </row>
    <row r="539" spans="1:9" s="222" customFormat="1" ht="12.75" x14ac:dyDescent="0.2">
      <c r="B539" s="225" t="s">
        <v>315</v>
      </c>
      <c r="C539" s="226">
        <v>169</v>
      </c>
      <c r="D539" s="227" t="s">
        <v>174</v>
      </c>
      <c r="E539" s="228">
        <v>4800</v>
      </c>
      <c r="F539" s="228">
        <f>E539*0.18</f>
        <v>864</v>
      </c>
      <c r="G539" s="228">
        <f t="shared" ref="G539:G542" si="28">ROUND((C539*(E539)),2)</f>
        <v>811200</v>
      </c>
      <c r="H539" s="228">
        <f t="shared" ref="H539:H542" si="29">ROUND((C539*(F539)),2)</f>
        <v>146016</v>
      </c>
      <c r="I539" s="228"/>
    </row>
    <row r="540" spans="1:9" s="222" customFormat="1" ht="12.75" x14ac:dyDescent="0.2">
      <c r="B540" s="225" t="s">
        <v>318</v>
      </c>
      <c r="C540" s="226">
        <f>+C539</f>
        <v>169</v>
      </c>
      <c r="D540" s="227" t="s">
        <v>174</v>
      </c>
      <c r="E540" s="228">
        <v>660</v>
      </c>
      <c r="F540" s="228">
        <f t="shared" ref="F540:F542" si="30">E540*0.18</f>
        <v>118.8</v>
      </c>
      <c r="G540" s="228">
        <f t="shared" si="28"/>
        <v>111540</v>
      </c>
      <c r="H540" s="228">
        <f t="shared" si="29"/>
        <v>20077.2</v>
      </c>
      <c r="I540" s="228"/>
    </row>
    <row r="541" spans="1:9" s="222" customFormat="1" ht="12.75" x14ac:dyDescent="0.2">
      <c r="B541" s="225" t="s">
        <v>205</v>
      </c>
      <c r="C541" s="226">
        <v>2</v>
      </c>
      <c r="D541" s="227" t="s">
        <v>145</v>
      </c>
      <c r="E541" s="228">
        <v>2000</v>
      </c>
      <c r="F541" s="228">
        <f t="shared" si="30"/>
        <v>360</v>
      </c>
      <c r="G541" s="228">
        <f t="shared" si="28"/>
        <v>4000</v>
      </c>
      <c r="H541" s="228">
        <f t="shared" si="29"/>
        <v>720</v>
      </c>
      <c r="I541" s="228"/>
    </row>
    <row r="542" spans="1:9" s="222" customFormat="1" ht="12.75" x14ac:dyDescent="0.2">
      <c r="B542" s="225" t="s">
        <v>319</v>
      </c>
      <c r="C542" s="226">
        <v>2</v>
      </c>
      <c r="D542" s="227" t="s">
        <v>145</v>
      </c>
      <c r="E542" s="228">
        <v>40000</v>
      </c>
      <c r="F542" s="228">
        <f t="shared" si="30"/>
        <v>7200</v>
      </c>
      <c r="G542" s="228">
        <f t="shared" si="28"/>
        <v>80000</v>
      </c>
      <c r="H542" s="228">
        <f t="shared" si="29"/>
        <v>14400</v>
      </c>
      <c r="I542" s="228"/>
    </row>
    <row r="543" spans="1:9" s="222" customFormat="1" ht="12.75" x14ac:dyDescent="0.2">
      <c r="B543" s="237" t="s">
        <v>210</v>
      </c>
      <c r="C543" s="226"/>
      <c r="D543" s="227"/>
      <c r="E543" s="228"/>
      <c r="F543" s="228"/>
      <c r="G543" s="228"/>
      <c r="H543" s="228"/>
      <c r="I543" s="228"/>
    </row>
    <row r="544" spans="1:9" s="222" customFormat="1" ht="12.75" x14ac:dyDescent="0.2">
      <c r="B544" s="225" t="s">
        <v>213</v>
      </c>
      <c r="C544" s="226">
        <v>4</v>
      </c>
      <c r="D544" s="227" t="s">
        <v>212</v>
      </c>
      <c r="E544" s="228">
        <v>847</v>
      </c>
      <c r="F544" s="228">
        <v>0</v>
      </c>
      <c r="G544" s="228">
        <f>ROUND((C544*(E544)),2)</f>
        <v>3388</v>
      </c>
      <c r="H544" s="228">
        <f>ROUND((C544*(F544)),2)</f>
        <v>0</v>
      </c>
      <c r="I544" s="228"/>
    </row>
    <row r="545" spans="1:9" s="222" customFormat="1" ht="24" x14ac:dyDescent="0.2">
      <c r="B545" s="285" t="s">
        <v>320</v>
      </c>
      <c r="C545" s="286">
        <f>C536</f>
        <v>2000</v>
      </c>
      <c r="D545" s="286" t="s">
        <v>321</v>
      </c>
      <c r="E545" s="315">
        <v>1.96</v>
      </c>
      <c r="F545" s="315">
        <v>0</v>
      </c>
      <c r="G545" s="315">
        <f>ROUND((C545*(E545)),2)</f>
        <v>3920</v>
      </c>
      <c r="H545" s="315">
        <f>ROUND((C545*(F545)),2)</f>
        <v>0</v>
      </c>
      <c r="I545" s="315"/>
    </row>
    <row r="546" spans="1:9" s="222" customFormat="1" ht="12.75" x14ac:dyDescent="0.2">
      <c r="B546" s="316" t="s">
        <v>146</v>
      </c>
      <c r="C546" s="317"/>
      <c r="D546" s="318"/>
      <c r="E546" s="228"/>
      <c r="F546" s="228"/>
      <c r="G546" s="228">
        <f>SUM(G539:G545)</f>
        <v>1014048</v>
      </c>
      <c r="H546" s="228">
        <f>SUM(H539:H544)</f>
        <v>181213.2</v>
      </c>
      <c r="I546" s="228">
        <f>SUM(G546:H546)</f>
        <v>1195261.2</v>
      </c>
    </row>
    <row r="547" spans="1:9" s="222" customFormat="1" ht="12.75" x14ac:dyDescent="0.2"/>
    <row r="548" spans="1:9" ht="16.5" x14ac:dyDescent="0.2">
      <c r="A548" s="216">
        <f>0.1+A532</f>
        <v>11.6</v>
      </c>
      <c r="B548" s="327" t="s">
        <v>69</v>
      </c>
      <c r="C548" s="300">
        <f>+C532*0.058*1.28*31</f>
        <v>32678.28</v>
      </c>
      <c r="D548" s="301" t="s">
        <v>49</v>
      </c>
      <c r="E548" s="2"/>
      <c r="F548" s="2"/>
      <c r="G548" s="2"/>
      <c r="I548" s="2"/>
    </row>
    <row r="549" spans="1:9" s="222" customFormat="1" ht="12.75" x14ac:dyDescent="0.2">
      <c r="B549" s="225" t="s">
        <v>316</v>
      </c>
      <c r="C549" s="226">
        <v>1</v>
      </c>
      <c r="D549" s="227" t="s">
        <v>317</v>
      </c>
      <c r="E549" s="228">
        <v>21</v>
      </c>
      <c r="F549" s="228"/>
      <c r="G549" s="228"/>
      <c r="H549" s="228"/>
      <c r="I549" s="228"/>
    </row>
    <row r="550" spans="1:9" ht="15" x14ac:dyDescent="0.2">
      <c r="A550" s="214"/>
      <c r="B550" s="217"/>
      <c r="C550" s="300"/>
      <c r="D550" s="301"/>
      <c r="E550" s="2"/>
      <c r="F550" s="2"/>
    </row>
    <row r="551" spans="1:9" ht="45" x14ac:dyDescent="0.2">
      <c r="A551" s="214">
        <v>12</v>
      </c>
      <c r="B551" s="328" t="s">
        <v>84</v>
      </c>
      <c r="E551" s="2"/>
    </row>
    <row r="552" spans="1:9" ht="71.25" x14ac:dyDescent="0.2">
      <c r="A552" s="216">
        <f>0.1+A551</f>
        <v>12.1</v>
      </c>
      <c r="B552" s="327" t="s">
        <v>91</v>
      </c>
      <c r="C552" s="244">
        <v>14085</v>
      </c>
      <c r="D552" s="223" t="s">
        <v>12</v>
      </c>
      <c r="E552" s="2"/>
    </row>
    <row r="553" spans="1:9" x14ac:dyDescent="0.2">
      <c r="A553" s="216"/>
      <c r="B553" s="327"/>
      <c r="C553" s="244"/>
      <c r="D553" s="223"/>
      <c r="E553" s="2"/>
    </row>
    <row r="554" spans="1:9" s="222" customFormat="1" ht="71.25" x14ac:dyDescent="0.2">
      <c r="B554" s="327" t="s">
        <v>91</v>
      </c>
      <c r="C554" s="303">
        <v>1</v>
      </c>
      <c r="D554" s="303" t="s">
        <v>323</v>
      </c>
      <c r="E554" s="304"/>
      <c r="F554" s="304"/>
      <c r="G554" s="304">
        <f>+G562/C556</f>
        <v>53</v>
      </c>
      <c r="H554" s="304">
        <f>+H562/C556</f>
        <v>9.5399999999999991</v>
      </c>
      <c r="I554" s="305">
        <f>+H554+G554</f>
        <v>62.54</v>
      </c>
    </row>
    <row r="555" spans="1:9" s="222" customFormat="1" ht="12.75" x14ac:dyDescent="0.2">
      <c r="B555" s="302"/>
      <c r="C555" s="303"/>
      <c r="D555" s="303"/>
      <c r="E555" s="304"/>
      <c r="F555" s="304"/>
      <c r="G555" s="304"/>
      <c r="H555" s="304"/>
      <c r="I555" s="305"/>
    </row>
    <row r="556" spans="1:9" s="222" customFormat="1" ht="12.75" x14ac:dyDescent="0.2">
      <c r="B556" s="302" t="s">
        <v>289</v>
      </c>
      <c r="C556" s="286">
        <v>1</v>
      </c>
      <c r="D556" s="286" t="s">
        <v>325</v>
      </c>
      <c r="E556" s="304"/>
      <c r="F556" s="304"/>
      <c r="G556" s="304"/>
      <c r="H556" s="304"/>
      <c r="I556" s="305"/>
    </row>
    <row r="557" spans="1:9" s="222" customFormat="1" ht="12.75" x14ac:dyDescent="0.2">
      <c r="B557" s="302"/>
      <c r="C557" s="286"/>
      <c r="D557" s="286"/>
      <c r="E557" s="304"/>
      <c r="F557" s="304"/>
      <c r="G557" s="304"/>
      <c r="H557" s="304"/>
      <c r="I557" s="305"/>
    </row>
    <row r="558" spans="1:9" s="222" customFormat="1" ht="12.75" x14ac:dyDescent="0.2">
      <c r="B558" s="225" t="s">
        <v>331</v>
      </c>
      <c r="C558" s="226">
        <v>0.01</v>
      </c>
      <c r="D558" s="227" t="s">
        <v>327</v>
      </c>
      <c r="E558" s="228">
        <v>1100</v>
      </c>
      <c r="F558" s="228">
        <f>E558*0.18</f>
        <v>198</v>
      </c>
      <c r="G558" s="228">
        <f t="shared" ref="G558:G561" si="31">ROUND((C558*(E558)),2)</f>
        <v>11</v>
      </c>
      <c r="H558" s="228">
        <f t="shared" ref="H558:H561" si="32">ROUND((C558*(F558)),2)</f>
        <v>1.98</v>
      </c>
      <c r="I558" s="228"/>
    </row>
    <row r="559" spans="1:9" s="222" customFormat="1" ht="12.75" x14ac:dyDescent="0.2">
      <c r="B559" s="225" t="s">
        <v>332</v>
      </c>
      <c r="C559" s="226">
        <v>0.1</v>
      </c>
      <c r="D559" s="227" t="s">
        <v>327</v>
      </c>
      <c r="E559" s="228">
        <v>150</v>
      </c>
      <c r="F559" s="228">
        <f t="shared" ref="F559:F561" si="33">E559*0.18</f>
        <v>27</v>
      </c>
      <c r="G559" s="228">
        <f t="shared" si="31"/>
        <v>15</v>
      </c>
      <c r="H559" s="228">
        <f t="shared" si="32"/>
        <v>2.7</v>
      </c>
      <c r="I559" s="228"/>
    </row>
    <row r="560" spans="1:9" s="222" customFormat="1" ht="12.75" x14ac:dyDescent="0.2">
      <c r="B560" s="225" t="s">
        <v>333</v>
      </c>
      <c r="C560" s="226">
        <v>0.1</v>
      </c>
      <c r="D560" s="227" t="s">
        <v>327</v>
      </c>
      <c r="E560" s="228">
        <v>20</v>
      </c>
      <c r="F560" s="228">
        <f t="shared" si="33"/>
        <v>3.6</v>
      </c>
      <c r="G560" s="228">
        <f t="shared" si="31"/>
        <v>2</v>
      </c>
      <c r="H560" s="228">
        <f t="shared" si="32"/>
        <v>0.36</v>
      </c>
      <c r="I560" s="228"/>
    </row>
    <row r="561" spans="1:9" s="222" customFormat="1" ht="12.75" x14ac:dyDescent="0.2">
      <c r="B561" s="225" t="s">
        <v>334</v>
      </c>
      <c r="C561" s="226">
        <v>0.1</v>
      </c>
      <c r="D561" s="227" t="s">
        <v>327</v>
      </c>
      <c r="E561" s="228">
        <v>250</v>
      </c>
      <c r="F561" s="228">
        <f t="shared" si="33"/>
        <v>45</v>
      </c>
      <c r="G561" s="228">
        <f t="shared" si="31"/>
        <v>25</v>
      </c>
      <c r="H561" s="228">
        <f t="shared" si="32"/>
        <v>4.5</v>
      </c>
      <c r="I561" s="228"/>
    </row>
    <row r="562" spans="1:9" s="222" customFormat="1" ht="12.75" x14ac:dyDescent="0.2">
      <c r="B562" s="222" t="s">
        <v>146</v>
      </c>
      <c r="C562" s="226"/>
      <c r="D562" s="227"/>
      <c r="E562" s="228"/>
      <c r="F562" s="228"/>
      <c r="G562" s="228">
        <f>SUM(G558:G561)</f>
        <v>53</v>
      </c>
      <c r="H562" s="228">
        <f>SUM(H558:H561)</f>
        <v>9.5399999999999991</v>
      </c>
      <c r="I562" s="226">
        <f>SUM(G562:H562)</f>
        <v>62.54</v>
      </c>
    </row>
    <row r="563" spans="1:9" s="222" customFormat="1" ht="12.75" x14ac:dyDescent="0.2"/>
    <row r="564" spans="1:9" ht="42.75" x14ac:dyDescent="0.2">
      <c r="A564" s="216">
        <f>0.1+A552</f>
        <v>12.2</v>
      </c>
      <c r="B564" s="327" t="s">
        <v>70</v>
      </c>
      <c r="C564" s="244">
        <v>14085</v>
      </c>
      <c r="D564" s="223" t="s">
        <v>12</v>
      </c>
      <c r="E564" s="2"/>
    </row>
    <row r="565" spans="1:9" s="222" customFormat="1" ht="13.9" customHeight="1" x14ac:dyDescent="0.2"/>
    <row r="566" spans="1:9" s="222" customFormat="1" ht="42.75" x14ac:dyDescent="0.2">
      <c r="B566" s="327" t="s">
        <v>70</v>
      </c>
      <c r="C566" s="303">
        <v>1</v>
      </c>
      <c r="D566" s="303" t="s">
        <v>323</v>
      </c>
      <c r="E566" s="304"/>
      <c r="F566" s="304"/>
      <c r="G566" s="304">
        <f>+G576/C568</f>
        <v>16.739999999999998</v>
      </c>
      <c r="H566" s="304">
        <f>+H576/C568</f>
        <v>0.56999999999999995</v>
      </c>
      <c r="I566" s="305">
        <f>+H566+G566</f>
        <v>17.309999999999999</v>
      </c>
    </row>
    <row r="567" spans="1:9" s="222" customFormat="1" ht="24" x14ac:dyDescent="0.2">
      <c r="B567" s="302" t="s">
        <v>335</v>
      </c>
      <c r="C567" s="303"/>
      <c r="D567" s="303"/>
      <c r="E567" s="304"/>
      <c r="F567" s="304"/>
      <c r="G567" s="304"/>
      <c r="H567" s="304"/>
      <c r="I567" s="305"/>
    </row>
    <row r="568" spans="1:9" s="222" customFormat="1" ht="12.75" x14ac:dyDescent="0.2">
      <c r="B568" s="302" t="s">
        <v>289</v>
      </c>
      <c r="C568" s="286">
        <v>5000</v>
      </c>
      <c r="D568" s="286" t="s">
        <v>325</v>
      </c>
      <c r="E568" s="304"/>
      <c r="F568" s="304"/>
      <c r="G568" s="304"/>
      <c r="H568" s="304"/>
      <c r="I568" s="305"/>
    </row>
    <row r="569" spans="1:9" s="222" customFormat="1" ht="12.75" x14ac:dyDescent="0.2">
      <c r="B569" s="302"/>
      <c r="C569" s="286"/>
      <c r="D569" s="286"/>
      <c r="E569" s="304"/>
      <c r="F569" s="304"/>
      <c r="G569" s="304"/>
      <c r="H569" s="304"/>
      <c r="I569" s="305"/>
    </row>
    <row r="570" spans="1:9" s="222" customFormat="1" ht="12.75" x14ac:dyDescent="0.2">
      <c r="B570" s="225" t="s">
        <v>336</v>
      </c>
      <c r="C570" s="226">
        <v>2</v>
      </c>
      <c r="D570" s="227" t="s">
        <v>327</v>
      </c>
      <c r="E570" s="228">
        <v>1250</v>
      </c>
      <c r="F570" s="228">
        <f>E570*0.18</f>
        <v>225</v>
      </c>
      <c r="G570" s="228">
        <f t="shared" ref="G570:G572" si="34">ROUND((C570*(E570)),2)</f>
        <v>2500</v>
      </c>
      <c r="H570" s="228">
        <f t="shared" ref="H570:H572" si="35">ROUND((C570*(F570)),2)</f>
        <v>450</v>
      </c>
      <c r="I570" s="228"/>
    </row>
    <row r="571" spans="1:9" s="222" customFormat="1" ht="12.75" x14ac:dyDescent="0.2">
      <c r="B571" s="225" t="s">
        <v>337</v>
      </c>
      <c r="C571" s="226">
        <v>1</v>
      </c>
      <c r="D571" s="227" t="s">
        <v>327</v>
      </c>
      <c r="E571" s="228">
        <v>1200</v>
      </c>
      <c r="F571" s="228">
        <f>E571*0.18</f>
        <v>216</v>
      </c>
      <c r="G571" s="228">
        <f t="shared" si="34"/>
        <v>1200</v>
      </c>
      <c r="H571" s="228">
        <f t="shared" si="35"/>
        <v>216</v>
      </c>
      <c r="I571" s="228"/>
    </row>
    <row r="572" spans="1:9" s="222" customFormat="1" ht="12.75" x14ac:dyDescent="0.2">
      <c r="B572" s="225" t="s">
        <v>338</v>
      </c>
      <c r="C572" s="226">
        <v>24</v>
      </c>
      <c r="D572" s="227" t="s">
        <v>327</v>
      </c>
      <c r="E572" s="228">
        <v>500</v>
      </c>
      <c r="F572" s="228">
        <f>E572*0.18</f>
        <v>90</v>
      </c>
      <c r="G572" s="228">
        <f t="shared" si="34"/>
        <v>12000</v>
      </c>
      <c r="H572" s="228">
        <f t="shared" si="35"/>
        <v>2160</v>
      </c>
      <c r="I572" s="228"/>
    </row>
    <row r="573" spans="1:9" s="222" customFormat="1" ht="12.75" x14ac:dyDescent="0.2">
      <c r="B573" s="302" t="s">
        <v>267</v>
      </c>
      <c r="C573" s="286"/>
      <c r="D573" s="286"/>
      <c r="E573" s="304"/>
      <c r="F573" s="304"/>
      <c r="G573" s="304"/>
      <c r="H573" s="304"/>
      <c r="I573" s="305"/>
    </row>
    <row r="574" spans="1:9" s="222" customFormat="1" ht="12.75" x14ac:dyDescent="0.2">
      <c r="B574" s="222" t="s">
        <v>329</v>
      </c>
      <c r="C574" s="226">
        <v>4</v>
      </c>
      <c r="D574" s="227" t="s">
        <v>330</v>
      </c>
      <c r="E574" s="228">
        <v>1000</v>
      </c>
      <c r="F574" s="228">
        <v>0</v>
      </c>
      <c r="G574" s="228">
        <f>ROUND((C574*(E574)),2)</f>
        <v>4000</v>
      </c>
      <c r="H574" s="228">
        <f>ROUND((C574*(F574)),2)</f>
        <v>0</v>
      </c>
    </row>
    <row r="575" spans="1:9" s="222" customFormat="1" ht="12.75" x14ac:dyDescent="0.2">
      <c r="B575" s="222" t="s">
        <v>339</v>
      </c>
      <c r="C575" s="226">
        <v>8</v>
      </c>
      <c r="D575" s="227" t="s">
        <v>340</v>
      </c>
      <c r="E575" s="228">
        <v>8000</v>
      </c>
      <c r="F575" s="228">
        <v>0</v>
      </c>
      <c r="G575" s="228">
        <f>ROUND((C575*(E575)),2)</f>
        <v>64000</v>
      </c>
      <c r="H575" s="228">
        <f>ROUND((C575*(F575)),2)</f>
        <v>0</v>
      </c>
    </row>
    <row r="576" spans="1:9" s="222" customFormat="1" ht="12.75" x14ac:dyDescent="0.2">
      <c r="B576" s="222" t="s">
        <v>146</v>
      </c>
      <c r="C576" s="226"/>
      <c r="D576" s="227"/>
      <c r="E576" s="228"/>
      <c r="F576" s="228"/>
      <c r="G576" s="228">
        <f>SUM(G570:G575)</f>
        <v>83700</v>
      </c>
      <c r="H576" s="228">
        <f>SUM(H570:H575)</f>
        <v>2826</v>
      </c>
      <c r="I576" s="228">
        <f>SUM(G576:H576)</f>
        <v>86526</v>
      </c>
    </row>
    <row r="577" spans="1:9" s="222" customFormat="1" ht="12.75" x14ac:dyDescent="0.2">
      <c r="C577" s="226"/>
      <c r="D577" s="227"/>
      <c r="E577" s="228"/>
      <c r="F577" s="228"/>
      <c r="G577" s="228"/>
      <c r="H577" s="228"/>
    </row>
    <row r="578" spans="1:9" ht="15" x14ac:dyDescent="0.2">
      <c r="A578" s="214"/>
      <c r="B578" s="329"/>
      <c r="C578" s="244"/>
      <c r="D578" s="223"/>
      <c r="E578" s="2"/>
    </row>
    <row r="579" spans="1:9" ht="15" x14ac:dyDescent="0.2">
      <c r="A579" s="214">
        <v>14</v>
      </c>
      <c r="B579" s="330" t="s">
        <v>16</v>
      </c>
      <c r="C579" s="300">
        <v>14085</v>
      </c>
      <c r="D579" s="301" t="s">
        <v>12</v>
      </c>
      <c r="E579" s="2"/>
    </row>
    <row r="580" spans="1:9" s="222" customFormat="1" ht="12.75" x14ac:dyDescent="0.2"/>
    <row r="581" spans="1:9" s="222" customFormat="1" ht="36" x14ac:dyDescent="0.2">
      <c r="B581" s="314" t="s">
        <v>322</v>
      </c>
      <c r="C581" s="303">
        <v>1</v>
      </c>
      <c r="D581" s="303" t="s">
        <v>323</v>
      </c>
      <c r="E581" s="304"/>
      <c r="F581" s="304"/>
      <c r="G581" s="304">
        <f>+G589/C583</f>
        <v>24.69</v>
      </c>
      <c r="H581" s="304">
        <f>+H589/C583</f>
        <v>0.15</v>
      </c>
      <c r="I581" s="305">
        <f>+H581+G581</f>
        <v>24.84</v>
      </c>
    </row>
    <row r="582" spans="1:9" s="222" customFormat="1" ht="24" x14ac:dyDescent="0.2">
      <c r="B582" s="302" t="s">
        <v>324</v>
      </c>
      <c r="C582" s="303"/>
      <c r="D582" s="303"/>
      <c r="E582" s="304"/>
      <c r="F582" s="304"/>
      <c r="G582" s="304"/>
      <c r="H582" s="304"/>
      <c r="I582" s="305"/>
    </row>
    <row r="583" spans="1:9" s="222" customFormat="1" ht="12.75" x14ac:dyDescent="0.2">
      <c r="B583" s="302" t="s">
        <v>289</v>
      </c>
      <c r="C583" s="286">
        <v>8000</v>
      </c>
      <c r="D583" s="286" t="s">
        <v>325</v>
      </c>
      <c r="E583" s="304"/>
      <c r="F583" s="304"/>
      <c r="G583" s="304"/>
      <c r="H583" s="304"/>
      <c r="I583" s="305"/>
    </row>
    <row r="584" spans="1:9" s="222" customFormat="1" ht="12.75" x14ac:dyDescent="0.2">
      <c r="B584" s="302"/>
      <c r="C584" s="286"/>
      <c r="D584" s="286"/>
      <c r="E584" s="304"/>
      <c r="F584" s="304"/>
      <c r="G584" s="304"/>
      <c r="H584" s="304"/>
      <c r="I584" s="305"/>
    </row>
    <row r="585" spans="1:9" s="222" customFormat="1" ht="12.75" x14ac:dyDescent="0.2">
      <c r="B585" s="225" t="s">
        <v>326</v>
      </c>
      <c r="C585" s="226">
        <v>2</v>
      </c>
      <c r="D585" s="227" t="s">
        <v>327</v>
      </c>
      <c r="E585" s="228">
        <v>38000</v>
      </c>
      <c r="F585" s="228">
        <v>0</v>
      </c>
      <c r="G585" s="228">
        <f t="shared" ref="G585:G586" si="36">ROUND((C585*(E585)),2)</f>
        <v>76000</v>
      </c>
      <c r="H585" s="228">
        <f t="shared" ref="H585:H586" si="37">ROUND((C585*(F585)),2)</f>
        <v>0</v>
      </c>
      <c r="I585" s="228"/>
    </row>
    <row r="586" spans="1:9" s="222" customFormat="1" ht="12.75" x14ac:dyDescent="0.2">
      <c r="B586" s="225" t="s">
        <v>328</v>
      </c>
      <c r="C586" s="226">
        <v>5</v>
      </c>
      <c r="D586" s="227" t="s">
        <v>327</v>
      </c>
      <c r="E586" s="228">
        <v>1300</v>
      </c>
      <c r="F586" s="228">
        <f>E586*0.18</f>
        <v>234</v>
      </c>
      <c r="G586" s="228">
        <f t="shared" si="36"/>
        <v>6500</v>
      </c>
      <c r="H586" s="228">
        <f t="shared" si="37"/>
        <v>1170</v>
      </c>
      <c r="I586" s="228"/>
    </row>
    <row r="587" spans="1:9" s="222" customFormat="1" ht="12.75" x14ac:dyDescent="0.2">
      <c r="B587" s="302" t="s">
        <v>267</v>
      </c>
      <c r="C587" s="286"/>
      <c r="D587" s="286"/>
      <c r="E587" s="304"/>
      <c r="F587" s="304"/>
      <c r="G587" s="304"/>
      <c r="H587" s="304"/>
      <c r="I587" s="305"/>
    </row>
    <row r="588" spans="1:9" s="222" customFormat="1" ht="12.75" x14ac:dyDescent="0.2">
      <c r="B588" s="222" t="s">
        <v>329</v>
      </c>
      <c r="C588" s="226">
        <v>115</v>
      </c>
      <c r="D588" s="227" t="s">
        <v>330</v>
      </c>
      <c r="E588" s="228">
        <v>1000</v>
      </c>
      <c r="F588" s="228">
        <v>0</v>
      </c>
      <c r="G588" s="228">
        <f>ROUND((C588*(E588)),2)</f>
        <v>115000</v>
      </c>
      <c r="H588" s="228">
        <f>ROUND((C588*(F588)),2)</f>
        <v>0</v>
      </c>
      <c r="I588" s="226"/>
    </row>
    <row r="589" spans="1:9" s="222" customFormat="1" ht="12.75" x14ac:dyDescent="0.2">
      <c r="B589" s="222" t="s">
        <v>146</v>
      </c>
      <c r="C589" s="226"/>
      <c r="D589" s="227"/>
      <c r="E589" s="228"/>
      <c r="F589" s="228"/>
      <c r="G589" s="228">
        <f>SUM(G585:G588)</f>
        <v>197500</v>
      </c>
      <c r="H589" s="228">
        <f>SUM(H585:H588)</f>
        <v>1170</v>
      </c>
      <c r="I589" s="226">
        <f>SUM(G589:H589)</f>
        <v>198670</v>
      </c>
    </row>
    <row r="590" spans="1:9" s="222" customFormat="1" ht="12.75" x14ac:dyDescent="0.2"/>
    <row r="591" spans="1:9" ht="15" x14ac:dyDescent="0.25">
      <c r="A591" s="331"/>
      <c r="B591" s="332" t="s">
        <v>17</v>
      </c>
      <c r="C591" s="333"/>
      <c r="D591" s="334"/>
      <c r="E591" s="2"/>
    </row>
    <row r="592" spans="1:9" x14ac:dyDescent="0.2">
      <c r="A592" s="335"/>
      <c r="B592" s="208"/>
      <c r="C592" s="180"/>
      <c r="D592" s="181"/>
    </row>
    <row r="593" spans="1:10" ht="15" x14ac:dyDescent="0.25">
      <c r="A593" s="211" t="s">
        <v>18</v>
      </c>
      <c r="B593" s="212" t="s">
        <v>9</v>
      </c>
      <c r="C593" s="180"/>
      <c r="D593" s="181"/>
    </row>
    <row r="594" spans="1:10" ht="71.25" x14ac:dyDescent="0.2">
      <c r="A594" s="336">
        <v>1</v>
      </c>
      <c r="B594" s="243" t="s">
        <v>92</v>
      </c>
      <c r="C594" s="244">
        <v>4</v>
      </c>
      <c r="D594" s="223" t="s">
        <v>32</v>
      </c>
      <c r="E594" s="8"/>
    </row>
    <row r="595" spans="1:10" x14ac:dyDescent="0.2">
      <c r="A595" s="336"/>
      <c r="B595" s="243"/>
      <c r="C595" s="244"/>
      <c r="D595" s="223"/>
      <c r="E595" s="8"/>
    </row>
    <row r="596" spans="1:10" s="321" customFormat="1" ht="13.15" customHeight="1" x14ac:dyDescent="0.2">
      <c r="A596" s="322">
        <f>+A595+0.01</f>
        <v>0.01</v>
      </c>
      <c r="B596" s="314" t="s">
        <v>341</v>
      </c>
      <c r="C596" s="303">
        <v>1</v>
      </c>
      <c r="D596" s="303" t="s">
        <v>145</v>
      </c>
      <c r="E596" s="304"/>
      <c r="F596" s="304"/>
      <c r="G596" s="304">
        <f>+G602/C598</f>
        <v>24300.01</v>
      </c>
      <c r="H596" s="304">
        <f>+H602/C598</f>
        <v>9968.64</v>
      </c>
      <c r="I596" s="305">
        <f>+I602/C598</f>
        <v>34268.65</v>
      </c>
      <c r="J596" s="323"/>
    </row>
    <row r="597" spans="1:10" s="321" customFormat="1" ht="12" outlineLevel="1" x14ac:dyDescent="0.2">
      <c r="A597" s="322"/>
      <c r="B597" s="285" t="s">
        <v>342</v>
      </c>
      <c r="C597" s="303"/>
      <c r="D597" s="303"/>
      <c r="E597" s="304"/>
      <c r="F597" s="304"/>
      <c r="G597" s="304"/>
      <c r="H597" s="304"/>
      <c r="I597" s="305"/>
      <c r="J597" s="323"/>
    </row>
    <row r="598" spans="1:10" s="321" customFormat="1" ht="12" outlineLevel="1" x14ac:dyDescent="0.2">
      <c r="A598" s="322"/>
      <c r="B598" s="302" t="s">
        <v>289</v>
      </c>
      <c r="C598" s="286">
        <v>1</v>
      </c>
      <c r="D598" s="286" t="s">
        <v>145</v>
      </c>
      <c r="E598" s="304"/>
      <c r="F598" s="304"/>
      <c r="G598" s="304"/>
      <c r="H598" s="304"/>
      <c r="I598" s="305"/>
      <c r="J598" s="323"/>
    </row>
    <row r="599" spans="1:10" s="321" customFormat="1" ht="12" outlineLevel="1" x14ac:dyDescent="0.2">
      <c r="A599" s="319"/>
      <c r="B599" s="302" t="s">
        <v>141</v>
      </c>
      <c r="C599" s="286"/>
      <c r="D599" s="286"/>
      <c r="E599" s="315"/>
      <c r="F599" s="315"/>
      <c r="G599" s="315"/>
      <c r="H599" s="315"/>
      <c r="I599" s="315"/>
      <c r="J599" s="320"/>
    </row>
    <row r="600" spans="1:10" s="321" customFormat="1" ht="12" outlineLevel="1" x14ac:dyDescent="0.2">
      <c r="A600" s="319"/>
      <c r="B600" s="285" t="s">
        <v>343</v>
      </c>
      <c r="C600" s="286">
        <v>1</v>
      </c>
      <c r="D600" s="286" t="s">
        <v>308</v>
      </c>
      <c r="E600" s="315">
        <v>12000</v>
      </c>
      <c r="F600" s="315">
        <v>4042.37</v>
      </c>
      <c r="G600" s="315">
        <f>ROUND((C600*(E600)),2)</f>
        <v>12000</v>
      </c>
      <c r="H600" s="315">
        <f>ROUND((C600*(F600)),2)</f>
        <v>4042.37</v>
      </c>
      <c r="I600" s="315"/>
      <c r="J600" s="320"/>
    </row>
    <row r="601" spans="1:10" s="321" customFormat="1" ht="12" outlineLevel="1" x14ac:dyDescent="0.2">
      <c r="A601" s="319"/>
      <c r="B601" s="285" t="s">
        <v>344</v>
      </c>
      <c r="C601" s="286">
        <v>1</v>
      </c>
      <c r="D601" s="286" t="s">
        <v>308</v>
      </c>
      <c r="E601" s="315">
        <v>12300.01</v>
      </c>
      <c r="F601" s="315">
        <v>5926.27</v>
      </c>
      <c r="G601" s="315">
        <f>ROUND((C601*(E601)),2)</f>
        <v>12300.01</v>
      </c>
      <c r="H601" s="315">
        <f>ROUND((C601*(F601)),2)</f>
        <v>5926.27</v>
      </c>
      <c r="I601" s="315"/>
      <c r="J601" s="320"/>
    </row>
    <row r="602" spans="1:10" s="321" customFormat="1" ht="12" outlineLevel="1" x14ac:dyDescent="0.2">
      <c r="A602" s="319"/>
      <c r="B602" s="285" t="s">
        <v>146</v>
      </c>
      <c r="C602" s="286"/>
      <c r="D602" s="286"/>
      <c r="E602" s="315"/>
      <c r="F602" s="315"/>
      <c r="G602" s="315">
        <f>SUM(G600:G601)</f>
        <v>24300.01</v>
      </c>
      <c r="H602" s="315">
        <f>SUM(H600:H601)</f>
        <v>9968.64</v>
      </c>
      <c r="I602" s="315">
        <f>SUM(G602:H602)</f>
        <v>34268.65</v>
      </c>
      <c r="J602" s="320"/>
    </row>
    <row r="603" spans="1:10" s="251" customFormat="1" ht="12.75" x14ac:dyDescent="0.2">
      <c r="A603" s="337"/>
      <c r="B603" s="338"/>
      <c r="C603" s="339"/>
      <c r="D603" s="340"/>
      <c r="E603" s="40"/>
      <c r="F603" s="250"/>
    </row>
    <row r="604" spans="1:10" x14ac:dyDescent="0.2">
      <c r="A604" s="341">
        <v>2</v>
      </c>
      <c r="B604" s="342" t="s">
        <v>93</v>
      </c>
      <c r="C604" s="9">
        <v>10</v>
      </c>
      <c r="D604" s="218" t="s">
        <v>85</v>
      </c>
      <c r="E604" s="2"/>
    </row>
    <row r="605" spans="1:10" x14ac:dyDescent="0.2">
      <c r="A605" s="341"/>
      <c r="B605" s="342"/>
      <c r="C605" s="9"/>
      <c r="D605" s="218"/>
      <c r="E605" s="2"/>
    </row>
    <row r="606" spans="1:10" s="251" customFormat="1" ht="25.5" x14ac:dyDescent="0.2">
      <c r="A606" s="337"/>
      <c r="B606" s="343" t="s">
        <v>345</v>
      </c>
      <c r="C606" s="41">
        <v>24</v>
      </c>
      <c r="D606" s="344" t="s">
        <v>129</v>
      </c>
      <c r="E606" s="345"/>
      <c r="F606" s="250"/>
    </row>
    <row r="607" spans="1:10" s="222" customFormat="1" ht="12.75" x14ac:dyDescent="0.2"/>
    <row r="608" spans="1:10" s="222" customFormat="1" ht="12.75" x14ac:dyDescent="0.2">
      <c r="B608" s="222" t="s">
        <v>346</v>
      </c>
      <c r="C608" s="42">
        <v>25</v>
      </c>
      <c r="D608" s="222" t="s">
        <v>288</v>
      </c>
    </row>
    <row r="609" spans="1:7" s="222" customFormat="1" ht="12.75" x14ac:dyDescent="0.2">
      <c r="B609" s="222" t="s">
        <v>347</v>
      </c>
      <c r="C609" s="240">
        <v>3500</v>
      </c>
      <c r="D609" s="222" t="s">
        <v>348</v>
      </c>
    </row>
    <row r="610" spans="1:7" s="222" customFormat="1" ht="12.75" x14ac:dyDescent="0.2">
      <c r="B610" s="222" t="s">
        <v>349</v>
      </c>
      <c r="C610" s="42">
        <f>+C608</f>
        <v>25</v>
      </c>
      <c r="D610" s="42">
        <f>+C609</f>
        <v>3500</v>
      </c>
      <c r="E610" s="42">
        <f>+C609*C610</f>
        <v>87500</v>
      </c>
      <c r="F610" s="42"/>
      <c r="G610" s="240"/>
    </row>
    <row r="611" spans="1:7" s="222" customFormat="1" ht="12.75" x14ac:dyDescent="0.2"/>
    <row r="612" spans="1:7" s="222" customFormat="1" ht="12.75" x14ac:dyDescent="0.2">
      <c r="B612" s="222" t="s">
        <v>350</v>
      </c>
      <c r="C612" s="42">
        <v>1000</v>
      </c>
      <c r="D612" s="222" t="s">
        <v>288</v>
      </c>
    </row>
    <row r="613" spans="1:7" s="222" customFormat="1" ht="12.75" x14ac:dyDescent="0.2">
      <c r="B613" s="222" t="s">
        <v>347</v>
      </c>
      <c r="C613" s="240">
        <v>500</v>
      </c>
      <c r="D613" s="222" t="s">
        <v>348</v>
      </c>
    </row>
    <row r="614" spans="1:7" s="222" customFormat="1" ht="12.75" x14ac:dyDescent="0.2">
      <c r="B614" s="222" t="s">
        <v>349</v>
      </c>
      <c r="C614" s="42">
        <f>+C612</f>
        <v>1000</v>
      </c>
      <c r="D614" s="42">
        <f>+C613</f>
        <v>500</v>
      </c>
      <c r="E614" s="42">
        <f>+C614*C613</f>
        <v>500000</v>
      </c>
      <c r="F614" s="42"/>
      <c r="G614" s="240"/>
    </row>
    <row r="615" spans="1:7" s="222" customFormat="1" ht="12.75" x14ac:dyDescent="0.2">
      <c r="C615" s="219"/>
      <c r="E615" s="222" t="s">
        <v>358</v>
      </c>
    </row>
    <row r="616" spans="1:7" s="222" customFormat="1" ht="12.75" x14ac:dyDescent="0.2">
      <c r="B616" s="222" t="s">
        <v>351</v>
      </c>
      <c r="C616" s="346">
        <f>+E614+E610</f>
        <v>587500</v>
      </c>
      <c r="D616" s="241" t="s">
        <v>352</v>
      </c>
      <c r="E616" s="347">
        <f>+C616/24</f>
        <v>24479.167000000001</v>
      </c>
    </row>
    <row r="617" spans="1:7" s="222" customFormat="1" ht="12.75" x14ac:dyDescent="0.2"/>
    <row r="618" spans="1:7" x14ac:dyDescent="0.2">
      <c r="A618" s="209"/>
      <c r="B618" s="12"/>
      <c r="C618" s="354"/>
      <c r="D618" s="354"/>
    </row>
    <row r="619" spans="1:7" x14ac:dyDescent="0.2">
      <c r="A619" s="12"/>
      <c r="B619" s="12"/>
      <c r="C619" s="355"/>
      <c r="D619" s="355"/>
    </row>
    <row r="620" spans="1:7" x14ac:dyDescent="0.2">
      <c r="A620" s="12"/>
      <c r="B620" s="12"/>
      <c r="C620" s="12"/>
      <c r="D620" s="12"/>
    </row>
    <row r="621" spans="1:7" x14ac:dyDescent="0.2">
      <c r="A621" s="12"/>
      <c r="B621" s="12"/>
      <c r="C621" s="12"/>
      <c r="D621" s="12"/>
    </row>
    <row r="622" spans="1:7" x14ac:dyDescent="0.2">
      <c r="A622" s="12"/>
      <c r="B622" s="12"/>
      <c r="C622" s="12"/>
      <c r="D622" s="12"/>
    </row>
    <row r="623" spans="1:7" x14ac:dyDescent="0.2">
      <c r="A623" s="12"/>
      <c r="B623" s="12"/>
      <c r="C623" s="12"/>
      <c r="D623" s="12"/>
    </row>
    <row r="624" spans="1:7" x14ac:dyDescent="0.2">
      <c r="A624" s="12"/>
      <c r="B624" s="12"/>
      <c r="C624" s="12"/>
      <c r="D624" s="12"/>
    </row>
    <row r="625" spans="1:4" x14ac:dyDescent="0.2">
      <c r="A625" s="12"/>
      <c r="B625" s="12"/>
      <c r="C625" s="12"/>
      <c r="D625" s="12"/>
    </row>
    <row r="626" spans="1:4" x14ac:dyDescent="0.2">
      <c r="A626" s="12"/>
      <c r="B626" s="12"/>
      <c r="C626" s="12"/>
      <c r="D626" s="12"/>
    </row>
    <row r="627" spans="1:4" x14ac:dyDescent="0.2">
      <c r="A627" s="12"/>
      <c r="B627" s="209"/>
      <c r="C627" s="12"/>
      <c r="D627" s="12"/>
    </row>
    <row r="628" spans="1:4" x14ac:dyDescent="0.2">
      <c r="A628" s="185"/>
      <c r="B628" s="12"/>
      <c r="C628" s="354"/>
      <c r="D628" s="354"/>
    </row>
    <row r="629" spans="1:4" x14ac:dyDescent="0.2">
      <c r="A629" s="12"/>
      <c r="B629" s="12"/>
      <c r="C629" s="354"/>
      <c r="D629" s="354"/>
    </row>
    <row r="630" spans="1:4" ht="15" x14ac:dyDescent="0.25">
      <c r="A630" s="12"/>
      <c r="B630" s="179"/>
      <c r="C630" s="180"/>
      <c r="D630" s="181"/>
    </row>
    <row r="631" spans="1:4" x14ac:dyDescent="0.2">
      <c r="A631" s="12"/>
      <c r="B631" s="12"/>
      <c r="C631" s="12"/>
      <c r="D631" s="12"/>
    </row>
    <row r="632" spans="1:4" x14ac:dyDescent="0.2">
      <c r="A632" s="12"/>
      <c r="B632" s="12"/>
      <c r="C632" s="12"/>
      <c r="D632" s="12"/>
    </row>
    <row r="633" spans="1:4" x14ac:dyDescent="0.2">
      <c r="A633" s="12"/>
      <c r="B633" s="12"/>
      <c r="C633" s="12"/>
      <c r="D633" s="12"/>
    </row>
    <row r="634" spans="1:4" x14ac:dyDescent="0.2">
      <c r="A634" s="12"/>
      <c r="B634" s="12"/>
      <c r="C634" s="12"/>
      <c r="D634" s="12"/>
    </row>
    <row r="635" spans="1:4" x14ac:dyDescent="0.2">
      <c r="A635" s="12"/>
      <c r="B635" s="12"/>
      <c r="C635" s="12"/>
      <c r="D635" s="12"/>
    </row>
    <row r="636" spans="1:4" x14ac:dyDescent="0.2">
      <c r="A636" s="12"/>
      <c r="B636" s="12"/>
      <c r="C636" s="12"/>
      <c r="D636" s="12"/>
    </row>
    <row r="637" spans="1:4" x14ac:dyDescent="0.2">
      <c r="A637" s="12"/>
      <c r="B637" s="12"/>
      <c r="C637" s="12"/>
      <c r="D637" s="12"/>
    </row>
    <row r="638" spans="1:4" x14ac:dyDescent="0.2">
      <c r="A638" s="12"/>
      <c r="B638" s="12"/>
      <c r="C638" s="12"/>
      <c r="D638" s="12"/>
    </row>
    <row r="639" spans="1:4" x14ac:dyDescent="0.2">
      <c r="A639" s="12"/>
      <c r="B639" s="12"/>
      <c r="C639" s="12"/>
      <c r="D639" s="12"/>
    </row>
    <row r="640" spans="1:4" x14ac:dyDescent="0.2">
      <c r="A640" s="12"/>
      <c r="B640" s="12"/>
      <c r="C640" s="12"/>
      <c r="D640" s="12"/>
    </row>
    <row r="641" spans="1:4" x14ac:dyDescent="0.2">
      <c r="A641" s="12"/>
      <c r="B641" s="12"/>
      <c r="C641" s="12"/>
      <c r="D641" s="12"/>
    </row>
    <row r="642" spans="1:4" x14ac:dyDescent="0.2">
      <c r="A642" s="12"/>
      <c r="B642" s="12"/>
      <c r="C642" s="12"/>
      <c r="D642" s="12"/>
    </row>
    <row r="643" spans="1:4" x14ac:dyDescent="0.2">
      <c r="A643" s="12"/>
      <c r="B643" s="12"/>
      <c r="C643" s="12"/>
      <c r="D643" s="12"/>
    </row>
    <row r="644" spans="1:4" x14ac:dyDescent="0.2">
      <c r="A644" s="12"/>
      <c r="B644" s="12"/>
      <c r="C644" s="12"/>
      <c r="D644" s="12"/>
    </row>
    <row r="645" spans="1:4" x14ac:dyDescent="0.2">
      <c r="A645" s="12"/>
      <c r="B645" s="12"/>
      <c r="C645" s="12"/>
      <c r="D645" s="12"/>
    </row>
    <row r="646" spans="1:4" x14ac:dyDescent="0.2">
      <c r="A646" s="12"/>
      <c r="B646" s="12"/>
      <c r="C646" s="12"/>
      <c r="D646" s="12"/>
    </row>
    <row r="647" spans="1:4" x14ac:dyDescent="0.2">
      <c r="A647" s="12"/>
      <c r="B647" s="12"/>
      <c r="C647" s="12"/>
      <c r="D647" s="12"/>
    </row>
    <row r="648" spans="1:4" x14ac:dyDescent="0.2">
      <c r="A648" s="12"/>
      <c r="B648" s="12"/>
      <c r="C648" s="12"/>
      <c r="D648" s="12"/>
    </row>
    <row r="649" spans="1:4" x14ac:dyDescent="0.2">
      <c r="A649" s="12"/>
      <c r="B649" s="12"/>
      <c r="C649" s="12"/>
      <c r="D649" s="12"/>
    </row>
    <row r="650" spans="1:4" x14ac:dyDescent="0.2">
      <c r="A650" s="12"/>
      <c r="B650" s="12"/>
      <c r="C650" s="12"/>
      <c r="D650" s="12"/>
    </row>
    <row r="651" spans="1:4" x14ac:dyDescent="0.2">
      <c r="A651" s="12"/>
      <c r="B651" s="12"/>
      <c r="C651" s="12"/>
      <c r="D651" s="12"/>
    </row>
    <row r="652" spans="1:4" x14ac:dyDescent="0.2">
      <c r="A652" s="12"/>
      <c r="B652" s="12"/>
      <c r="C652" s="12"/>
      <c r="D652" s="12"/>
    </row>
    <row r="653" spans="1:4" x14ac:dyDescent="0.2">
      <c r="A653" s="12"/>
      <c r="B653" s="12"/>
      <c r="C653" s="12"/>
      <c r="D653" s="12"/>
    </row>
    <row r="654" spans="1:4" x14ac:dyDescent="0.2">
      <c r="A654" s="12"/>
      <c r="B654" s="12"/>
      <c r="C654" s="12"/>
      <c r="D654" s="12"/>
    </row>
    <row r="655" spans="1:4" x14ac:dyDescent="0.2">
      <c r="A655" s="12"/>
      <c r="B655" s="12"/>
      <c r="C655" s="12"/>
      <c r="D655" s="12"/>
    </row>
  </sheetData>
  <mergeCells count="5">
    <mergeCell ref="A3:D3"/>
    <mergeCell ref="C618:D618"/>
    <mergeCell ref="C619:D619"/>
    <mergeCell ref="C628:D628"/>
    <mergeCell ref="C629:D629"/>
  </mergeCells>
  <pageMargins left="0.7" right="0.7" top="0.75" bottom="0.75" header="0.3" footer="0.3"/>
  <pageSetup scale="57" orientation="portrait" r:id="rId1"/>
  <rowBreaks count="7" manualBreakCount="7">
    <brk id="91" max="9" man="1"/>
    <brk id="182" max="9" man="1"/>
    <brk id="266" max="9" man="1"/>
    <brk id="350" max="9" man="1"/>
    <brk id="426" max="9" man="1"/>
    <brk id="520" max="9" man="1"/>
    <brk id="591" max="9" man="1"/>
  </rowBreaks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3"/>
  <sheetViews>
    <sheetView tabSelected="1" topLeftCell="B1" zoomScale="64" zoomScaleNormal="64" workbookViewId="0">
      <selection activeCell="H72" sqref="H72"/>
    </sheetView>
  </sheetViews>
  <sheetFormatPr baseColWidth="10" defaultColWidth="11.42578125" defaultRowHeight="18.75" x14ac:dyDescent="0.2"/>
  <cols>
    <col min="1" max="1" width="9.28515625" style="82" customWidth="1"/>
    <col min="2" max="2" width="12.5703125" style="81" customWidth="1"/>
    <col min="3" max="3" width="72.7109375" style="82" customWidth="1"/>
    <col min="4" max="4" width="15.42578125" style="80" customWidth="1"/>
    <col min="5" max="5" width="13.28515625" style="81" customWidth="1"/>
    <col min="6" max="6" width="17.5703125" style="69" customWidth="1"/>
    <col min="7" max="7" width="18.7109375" style="80" customWidth="1"/>
    <col min="8" max="8" width="23.28515625" style="80" bestFit="1" customWidth="1"/>
    <col min="9" max="9" width="17.85546875" style="82" bestFit="1" customWidth="1"/>
    <col min="10" max="10" width="33" style="82" customWidth="1"/>
    <col min="11" max="11" width="11.42578125" style="82"/>
    <col min="12" max="12" width="32.5703125" style="82" customWidth="1"/>
    <col min="13" max="16384" width="11.42578125" style="82"/>
  </cols>
  <sheetData>
    <row r="1" spans="2:8" ht="20.25" x14ac:dyDescent="0.2">
      <c r="B1" s="359"/>
      <c r="C1" s="359"/>
      <c r="D1" s="359"/>
      <c r="E1" s="359"/>
      <c r="F1" s="359"/>
      <c r="G1" s="359"/>
      <c r="H1" s="359"/>
    </row>
    <row r="2" spans="2:8" x14ac:dyDescent="0.2">
      <c r="B2" s="360"/>
      <c r="C2" s="360"/>
      <c r="D2" s="360"/>
      <c r="E2" s="360"/>
      <c r="F2" s="360"/>
      <c r="G2" s="360"/>
      <c r="H2" s="360"/>
    </row>
    <row r="3" spans="2:8" x14ac:dyDescent="0.2">
      <c r="B3" s="361" t="s">
        <v>359</v>
      </c>
      <c r="C3" s="361"/>
      <c r="D3" s="189"/>
      <c r="E3" s="361"/>
      <c r="F3" s="361"/>
      <c r="G3" s="361"/>
      <c r="H3" s="190"/>
    </row>
    <row r="4" spans="2:8" x14ac:dyDescent="0.2">
      <c r="B4" s="361"/>
      <c r="C4" s="361"/>
      <c r="D4" s="189"/>
      <c r="E4" s="190"/>
      <c r="F4" s="190"/>
      <c r="G4" s="190"/>
      <c r="H4" s="190"/>
    </row>
    <row r="5" spans="2:8" ht="19.5" thickBot="1" x14ac:dyDescent="0.25">
      <c r="B5" s="190"/>
      <c r="C5" s="190"/>
      <c r="D5" s="189"/>
      <c r="E5" s="190"/>
      <c r="F5" s="190"/>
      <c r="G5" s="190"/>
      <c r="H5" s="190"/>
    </row>
    <row r="6" spans="2:8" ht="38.25" thickBot="1" x14ac:dyDescent="0.25">
      <c r="B6" s="44" t="s">
        <v>360</v>
      </c>
      <c r="C6" s="45" t="s">
        <v>361</v>
      </c>
      <c r="D6" s="46" t="s">
        <v>362</v>
      </c>
      <c r="E6" s="45" t="s">
        <v>363</v>
      </c>
      <c r="F6" s="47" t="s">
        <v>364</v>
      </c>
      <c r="G6" s="48" t="s">
        <v>365</v>
      </c>
      <c r="H6" s="49" t="s">
        <v>366</v>
      </c>
    </row>
    <row r="7" spans="2:8" x14ac:dyDescent="0.2">
      <c r="B7" s="191"/>
      <c r="C7" s="50"/>
      <c r="D7" s="192"/>
      <c r="E7" s="193"/>
      <c r="F7" s="194"/>
      <c r="G7" s="194"/>
      <c r="H7" s="51"/>
    </row>
    <row r="8" spans="2:8" s="195" customFormat="1" x14ac:dyDescent="0.2">
      <c r="B8" s="196" t="s">
        <v>10</v>
      </c>
      <c r="C8" s="86" t="s">
        <v>367</v>
      </c>
      <c r="D8" s="197"/>
      <c r="E8" s="83"/>
      <c r="F8" s="198"/>
      <c r="G8" s="198"/>
      <c r="H8" s="51"/>
    </row>
    <row r="9" spans="2:8" x14ac:dyDescent="0.2">
      <c r="B9" s="199"/>
      <c r="C9" s="50"/>
      <c r="D9" s="200"/>
      <c r="E9" s="52"/>
      <c r="F9" s="194"/>
      <c r="G9" s="194"/>
      <c r="H9" s="51"/>
    </row>
    <row r="10" spans="2:8" s="195" customFormat="1" x14ac:dyDescent="0.2">
      <c r="B10" s="83">
        <v>1</v>
      </c>
      <c r="C10" s="84" t="s">
        <v>86</v>
      </c>
      <c r="D10" s="85"/>
      <c r="E10" s="83"/>
      <c r="F10" s="198"/>
      <c r="G10" s="198"/>
      <c r="H10" s="51"/>
    </row>
    <row r="11" spans="2:8" x14ac:dyDescent="0.2">
      <c r="B11" s="52">
        <v>1.1000000000000001</v>
      </c>
      <c r="C11" s="53" t="s">
        <v>51</v>
      </c>
      <c r="D11" s="54">
        <v>14085</v>
      </c>
      <c r="E11" s="52" t="s">
        <v>12</v>
      </c>
      <c r="F11" s="194">
        <v>39.47</v>
      </c>
      <c r="G11" s="194">
        <v>555934.94999999995</v>
      </c>
      <c r="H11" s="51"/>
    </row>
    <row r="12" spans="2:8" x14ac:dyDescent="0.2">
      <c r="B12" s="52"/>
      <c r="C12" s="53"/>
      <c r="D12" s="54"/>
      <c r="E12" s="52"/>
      <c r="F12" s="194"/>
      <c r="G12" s="194"/>
      <c r="H12" s="51">
        <v>555934.94999999995</v>
      </c>
    </row>
    <row r="13" spans="2:8" s="195" customFormat="1" x14ac:dyDescent="0.2">
      <c r="B13" s="83">
        <v>2</v>
      </c>
      <c r="C13" s="84" t="s">
        <v>15</v>
      </c>
      <c r="D13" s="85"/>
      <c r="E13" s="83"/>
      <c r="F13" s="194"/>
      <c r="G13" s="194"/>
      <c r="H13" s="51"/>
    </row>
    <row r="14" spans="2:8" ht="22.5" x14ac:dyDescent="0.2">
      <c r="B14" s="52">
        <v>2.1</v>
      </c>
      <c r="C14" s="53" t="s">
        <v>52</v>
      </c>
      <c r="D14" s="54">
        <v>10093.93</v>
      </c>
      <c r="E14" s="52" t="s">
        <v>368</v>
      </c>
      <c r="F14" s="194">
        <v>122.48</v>
      </c>
      <c r="G14" s="194">
        <v>1236304.55</v>
      </c>
      <c r="H14" s="51"/>
    </row>
    <row r="15" spans="2:8" ht="22.5" x14ac:dyDescent="0.2">
      <c r="B15" s="52">
        <v>2.2000000000000002</v>
      </c>
      <c r="C15" s="53" t="s">
        <v>53</v>
      </c>
      <c r="D15" s="54">
        <v>9392.5</v>
      </c>
      <c r="E15" s="52" t="s">
        <v>369</v>
      </c>
      <c r="F15" s="194">
        <v>28.31</v>
      </c>
      <c r="G15" s="194">
        <v>265901.68</v>
      </c>
      <c r="H15" s="51"/>
    </row>
    <row r="16" spans="2:8" ht="22.5" x14ac:dyDescent="0.2">
      <c r="B16" s="52">
        <v>2.2999999999999998</v>
      </c>
      <c r="C16" s="53" t="s">
        <v>54</v>
      </c>
      <c r="D16" s="54">
        <v>985.95</v>
      </c>
      <c r="E16" s="52" t="s">
        <v>368</v>
      </c>
      <c r="F16" s="194">
        <v>1427.93</v>
      </c>
      <c r="G16" s="194">
        <v>1407867.58</v>
      </c>
      <c r="H16" s="51"/>
    </row>
    <row r="17" spans="2:8" ht="37.5" x14ac:dyDescent="0.2">
      <c r="B17" s="52">
        <v>2.4</v>
      </c>
      <c r="C17" s="53" t="s">
        <v>87</v>
      </c>
      <c r="D17" s="54">
        <v>8575.59</v>
      </c>
      <c r="E17" s="52" t="s">
        <v>368</v>
      </c>
      <c r="F17" s="194">
        <v>269.18</v>
      </c>
      <c r="G17" s="194">
        <v>2308377.3199999998</v>
      </c>
      <c r="H17" s="51"/>
    </row>
    <row r="18" spans="2:8" ht="37.5" x14ac:dyDescent="0.2">
      <c r="B18" s="52">
        <v>2.5</v>
      </c>
      <c r="C18" s="53" t="s">
        <v>61</v>
      </c>
      <c r="D18" s="54">
        <v>1822.01</v>
      </c>
      <c r="E18" s="52" t="s">
        <v>368</v>
      </c>
      <c r="F18" s="194">
        <v>264.72000000000003</v>
      </c>
      <c r="G18" s="194">
        <v>482322.49</v>
      </c>
      <c r="H18" s="51"/>
    </row>
    <row r="19" spans="2:8" x14ac:dyDescent="0.2">
      <c r="B19" s="52"/>
      <c r="C19" s="53"/>
      <c r="D19" s="54"/>
      <c r="E19" s="52"/>
      <c r="F19" s="194"/>
      <c r="G19" s="194"/>
      <c r="H19" s="51">
        <v>5700773.6200000001</v>
      </c>
    </row>
    <row r="20" spans="2:8" s="195" customFormat="1" x14ac:dyDescent="0.2">
      <c r="B20" s="83">
        <v>3</v>
      </c>
      <c r="C20" s="84" t="s">
        <v>25</v>
      </c>
      <c r="D20" s="85"/>
      <c r="E20" s="83"/>
      <c r="F20" s="194"/>
      <c r="G20" s="194"/>
      <c r="H20" s="51"/>
    </row>
    <row r="21" spans="2:8" x14ac:dyDescent="0.2">
      <c r="B21" s="52">
        <v>3.1</v>
      </c>
      <c r="C21" s="53" t="s">
        <v>55</v>
      </c>
      <c r="D21" s="54">
        <v>4839.8999999999996</v>
      </c>
      <c r="E21" s="52" t="s">
        <v>12</v>
      </c>
      <c r="F21" s="194">
        <v>918.47</v>
      </c>
      <c r="G21" s="194">
        <v>4445302.95</v>
      </c>
      <c r="H21" s="51"/>
    </row>
    <row r="22" spans="2:8" x14ac:dyDescent="0.2">
      <c r="B22" s="52">
        <v>3.2</v>
      </c>
      <c r="C22" s="53" t="s">
        <v>56</v>
      </c>
      <c r="D22" s="54">
        <v>9526.7999999999993</v>
      </c>
      <c r="E22" s="52" t="s">
        <v>12</v>
      </c>
      <c r="F22" s="194">
        <v>545.23</v>
      </c>
      <c r="G22" s="194">
        <v>5194297.16</v>
      </c>
      <c r="H22" s="51"/>
    </row>
    <row r="23" spans="2:8" x14ac:dyDescent="0.2">
      <c r="B23" s="52"/>
      <c r="C23" s="53"/>
      <c r="D23" s="54"/>
      <c r="E23" s="52"/>
      <c r="F23" s="194"/>
      <c r="G23" s="194"/>
      <c r="H23" s="51">
        <v>9639600.1099999994</v>
      </c>
    </row>
    <row r="24" spans="2:8" s="195" customFormat="1" x14ac:dyDescent="0.2">
      <c r="B24" s="83">
        <v>4</v>
      </c>
      <c r="C24" s="84" t="s">
        <v>26</v>
      </c>
      <c r="D24" s="85"/>
      <c r="E24" s="83"/>
      <c r="F24" s="194"/>
      <c r="G24" s="194"/>
      <c r="H24" s="51"/>
    </row>
    <row r="25" spans="2:8" x14ac:dyDescent="0.2">
      <c r="B25" s="52">
        <v>4.0999999999999996</v>
      </c>
      <c r="C25" s="53" t="s">
        <v>57</v>
      </c>
      <c r="D25" s="54">
        <v>4839.8999999999996</v>
      </c>
      <c r="E25" s="52" t="s">
        <v>12</v>
      </c>
      <c r="F25" s="194">
        <v>182.28</v>
      </c>
      <c r="G25" s="194">
        <v>882216.97</v>
      </c>
      <c r="H25" s="51"/>
    </row>
    <row r="26" spans="2:8" x14ac:dyDescent="0.2">
      <c r="B26" s="52">
        <v>4.2</v>
      </c>
      <c r="C26" s="53" t="s">
        <v>58</v>
      </c>
      <c r="D26" s="54">
        <v>9526.7999999999993</v>
      </c>
      <c r="E26" s="52" t="s">
        <v>12</v>
      </c>
      <c r="F26" s="194">
        <v>171.29</v>
      </c>
      <c r="G26" s="194">
        <v>1631845.57</v>
      </c>
      <c r="H26" s="51"/>
    </row>
    <row r="27" spans="2:8" x14ac:dyDescent="0.2">
      <c r="B27" s="52"/>
      <c r="C27" s="53"/>
      <c r="D27" s="54"/>
      <c r="E27" s="52"/>
      <c r="F27" s="194"/>
      <c r="G27" s="194"/>
      <c r="H27" s="51">
        <v>2514062.54</v>
      </c>
    </row>
    <row r="28" spans="2:8" s="195" customFormat="1" ht="37.5" x14ac:dyDescent="0.2">
      <c r="B28" s="83">
        <v>5</v>
      </c>
      <c r="C28" s="84" t="s">
        <v>31</v>
      </c>
      <c r="D28" s="85"/>
      <c r="E28" s="83"/>
      <c r="F28" s="194"/>
      <c r="G28" s="194"/>
      <c r="H28" s="51"/>
    </row>
    <row r="29" spans="2:8" x14ac:dyDescent="0.2">
      <c r="B29" s="52">
        <v>5.0999999999999996</v>
      </c>
      <c r="C29" s="53" t="s">
        <v>33</v>
      </c>
      <c r="D29" s="54">
        <v>1</v>
      </c>
      <c r="E29" s="52" t="s">
        <v>32</v>
      </c>
      <c r="F29" s="194">
        <v>465.55</v>
      </c>
      <c r="G29" s="194">
        <v>465.55</v>
      </c>
      <c r="H29" s="51"/>
    </row>
    <row r="30" spans="2:8" x14ac:dyDescent="0.2">
      <c r="B30" s="52">
        <v>5.2</v>
      </c>
      <c r="C30" s="53" t="s">
        <v>34</v>
      </c>
      <c r="D30" s="54">
        <v>13</v>
      </c>
      <c r="E30" s="52" t="s">
        <v>32</v>
      </c>
      <c r="F30" s="194">
        <v>452.1</v>
      </c>
      <c r="G30" s="194">
        <v>5877.3</v>
      </c>
      <c r="H30" s="51"/>
    </row>
    <row r="31" spans="2:8" x14ac:dyDescent="0.2">
      <c r="B31" s="52">
        <v>5.3</v>
      </c>
      <c r="C31" s="53" t="s">
        <v>35</v>
      </c>
      <c r="D31" s="54">
        <v>4</v>
      </c>
      <c r="E31" s="52" t="s">
        <v>32</v>
      </c>
      <c r="F31" s="194">
        <v>263.3</v>
      </c>
      <c r="G31" s="194">
        <v>1053.2</v>
      </c>
      <c r="H31" s="51"/>
    </row>
    <row r="32" spans="2:8" x14ac:dyDescent="0.2">
      <c r="B32" s="52">
        <v>5.4</v>
      </c>
      <c r="C32" s="53" t="s">
        <v>36</v>
      </c>
      <c r="D32" s="54">
        <v>36</v>
      </c>
      <c r="E32" s="52" t="s">
        <v>32</v>
      </c>
      <c r="F32" s="194">
        <v>251.5</v>
      </c>
      <c r="G32" s="194">
        <v>9054</v>
      </c>
      <c r="H32" s="51"/>
    </row>
    <row r="33" spans="2:8" x14ac:dyDescent="0.2">
      <c r="B33" s="52">
        <v>5.5</v>
      </c>
      <c r="C33" s="53" t="s">
        <v>37</v>
      </c>
      <c r="D33" s="54">
        <v>38</v>
      </c>
      <c r="E33" s="52" t="s">
        <v>32</v>
      </c>
      <c r="F33" s="194">
        <v>558.57000000000005</v>
      </c>
      <c r="G33" s="194">
        <v>21225.66</v>
      </c>
      <c r="H33" s="51"/>
    </row>
    <row r="34" spans="2:8" x14ac:dyDescent="0.2">
      <c r="B34" s="52">
        <v>5.6</v>
      </c>
      <c r="C34" s="53" t="s">
        <v>38</v>
      </c>
      <c r="D34" s="54">
        <v>26</v>
      </c>
      <c r="E34" s="52" t="s">
        <v>32</v>
      </c>
      <c r="F34" s="194">
        <v>493.4</v>
      </c>
      <c r="G34" s="194">
        <v>12828.4</v>
      </c>
      <c r="H34" s="51"/>
    </row>
    <row r="35" spans="2:8" x14ac:dyDescent="0.2">
      <c r="B35" s="52">
        <v>5.7</v>
      </c>
      <c r="C35" s="53" t="s">
        <v>39</v>
      </c>
      <c r="D35" s="54">
        <v>4</v>
      </c>
      <c r="E35" s="52" t="s">
        <v>32</v>
      </c>
      <c r="F35" s="194">
        <v>523.25</v>
      </c>
      <c r="G35" s="194">
        <v>2093</v>
      </c>
      <c r="H35" s="51"/>
    </row>
    <row r="36" spans="2:8" x14ac:dyDescent="0.2">
      <c r="B36" s="52">
        <v>5.8</v>
      </c>
      <c r="C36" s="53" t="s">
        <v>40</v>
      </c>
      <c r="D36" s="54">
        <v>3</v>
      </c>
      <c r="E36" s="52" t="s">
        <v>32</v>
      </c>
      <c r="F36" s="194">
        <v>239.7</v>
      </c>
      <c r="G36" s="194">
        <v>719.1</v>
      </c>
      <c r="H36" s="51"/>
    </row>
    <row r="37" spans="2:8" x14ac:dyDescent="0.2">
      <c r="B37" s="52">
        <v>5.9</v>
      </c>
      <c r="C37" s="53" t="s">
        <v>50</v>
      </c>
      <c r="D37" s="54">
        <v>1</v>
      </c>
      <c r="E37" s="52" t="s">
        <v>32</v>
      </c>
      <c r="F37" s="194">
        <v>969.22</v>
      </c>
      <c r="G37" s="194">
        <v>969.22</v>
      </c>
      <c r="H37" s="51"/>
    </row>
    <row r="38" spans="2:8" x14ac:dyDescent="0.2">
      <c r="B38" s="52">
        <v>5.0999999999999996</v>
      </c>
      <c r="C38" s="53" t="s">
        <v>41</v>
      </c>
      <c r="D38" s="54">
        <v>1</v>
      </c>
      <c r="E38" s="52" t="s">
        <v>32</v>
      </c>
      <c r="F38" s="194">
        <v>844.02</v>
      </c>
      <c r="G38" s="194">
        <v>844.02</v>
      </c>
      <c r="H38" s="51"/>
    </row>
    <row r="39" spans="2:8" x14ac:dyDescent="0.2">
      <c r="B39" s="52">
        <v>5.1100000000000003</v>
      </c>
      <c r="C39" s="53" t="s">
        <v>42</v>
      </c>
      <c r="D39" s="54">
        <v>33</v>
      </c>
      <c r="E39" s="52" t="s">
        <v>32</v>
      </c>
      <c r="F39" s="194">
        <v>740.64</v>
      </c>
      <c r="G39" s="194">
        <v>24441.119999999999</v>
      </c>
      <c r="H39" s="51"/>
    </row>
    <row r="40" spans="2:8" x14ac:dyDescent="0.2">
      <c r="B40" s="52">
        <v>5.12</v>
      </c>
      <c r="C40" s="53" t="s">
        <v>43</v>
      </c>
      <c r="D40" s="54">
        <v>1</v>
      </c>
      <c r="E40" s="52" t="s">
        <v>32</v>
      </c>
      <c r="F40" s="194">
        <v>365.4</v>
      </c>
      <c r="G40" s="194">
        <v>365.4</v>
      </c>
      <c r="H40" s="51"/>
    </row>
    <row r="41" spans="2:8" x14ac:dyDescent="0.2">
      <c r="B41" s="52">
        <v>5.13</v>
      </c>
      <c r="C41" s="53" t="s">
        <v>44</v>
      </c>
      <c r="D41" s="54">
        <v>16</v>
      </c>
      <c r="E41" s="52" t="s">
        <v>32</v>
      </c>
      <c r="F41" s="194">
        <v>330</v>
      </c>
      <c r="G41" s="194">
        <v>5280</v>
      </c>
      <c r="H41" s="51"/>
    </row>
    <row r="42" spans="2:8" x14ac:dyDescent="0.2">
      <c r="B42" s="52">
        <v>5.14</v>
      </c>
      <c r="C42" s="53" t="s">
        <v>46</v>
      </c>
      <c r="D42" s="54">
        <v>8.85</v>
      </c>
      <c r="E42" s="52" t="s">
        <v>45</v>
      </c>
      <c r="F42" s="194">
        <v>7664.2</v>
      </c>
      <c r="G42" s="194">
        <v>67828.17</v>
      </c>
      <c r="H42" s="51"/>
    </row>
    <row r="43" spans="2:8" x14ac:dyDescent="0.2">
      <c r="B43" s="52"/>
      <c r="C43" s="53"/>
      <c r="D43" s="54"/>
      <c r="E43" s="52"/>
      <c r="F43" s="194"/>
      <c r="G43" s="194"/>
      <c r="H43" s="51">
        <v>153044.14000000001</v>
      </c>
    </row>
    <row r="44" spans="2:8" s="195" customFormat="1" x14ac:dyDescent="0.2">
      <c r="B44" s="83">
        <v>6</v>
      </c>
      <c r="C44" s="84" t="s">
        <v>27</v>
      </c>
      <c r="D44" s="85"/>
      <c r="E44" s="83"/>
      <c r="F44" s="194"/>
      <c r="G44" s="194"/>
      <c r="H44" s="51"/>
    </row>
    <row r="45" spans="2:8" ht="56.25" x14ac:dyDescent="0.2">
      <c r="B45" s="52">
        <v>6.1</v>
      </c>
      <c r="C45" s="53" t="s">
        <v>62</v>
      </c>
      <c r="D45" s="54">
        <v>3</v>
      </c>
      <c r="E45" s="52" t="s">
        <v>32</v>
      </c>
      <c r="F45" s="194">
        <v>23383</v>
      </c>
      <c r="G45" s="194">
        <v>70149</v>
      </c>
      <c r="H45" s="51"/>
    </row>
    <row r="46" spans="2:8" ht="56.25" x14ac:dyDescent="0.2">
      <c r="B46" s="52">
        <v>6.2</v>
      </c>
      <c r="C46" s="53" t="s">
        <v>63</v>
      </c>
      <c r="D46" s="54">
        <v>3</v>
      </c>
      <c r="E46" s="52" t="s">
        <v>32</v>
      </c>
      <c r="F46" s="194">
        <v>22763.5</v>
      </c>
      <c r="G46" s="194">
        <v>68290.5</v>
      </c>
      <c r="H46" s="51"/>
    </row>
    <row r="47" spans="2:8" x14ac:dyDescent="0.2">
      <c r="B47" s="52">
        <v>6.3</v>
      </c>
      <c r="C47" s="53" t="s">
        <v>64</v>
      </c>
      <c r="D47" s="54">
        <v>6</v>
      </c>
      <c r="E47" s="52" t="s">
        <v>32</v>
      </c>
      <c r="F47" s="194">
        <v>7069.41</v>
      </c>
      <c r="G47" s="194">
        <v>42416.46</v>
      </c>
      <c r="H47" s="51"/>
    </row>
    <row r="48" spans="2:8" x14ac:dyDescent="0.2">
      <c r="B48" s="52"/>
      <c r="C48" s="53"/>
      <c r="D48" s="54"/>
      <c r="E48" s="52"/>
      <c r="F48" s="194"/>
      <c r="G48" s="194"/>
      <c r="H48" s="51">
        <v>180855.96</v>
      </c>
    </row>
    <row r="49" spans="2:8" s="195" customFormat="1" x14ac:dyDescent="0.2">
      <c r="B49" s="83">
        <v>7</v>
      </c>
      <c r="C49" s="84" t="s">
        <v>59</v>
      </c>
      <c r="D49" s="85"/>
      <c r="E49" s="83"/>
      <c r="F49" s="194"/>
      <c r="G49" s="194"/>
      <c r="H49" s="51"/>
    </row>
    <row r="50" spans="2:8" ht="37.5" x14ac:dyDescent="0.2">
      <c r="B50" s="52">
        <v>7.1</v>
      </c>
      <c r="C50" s="53" t="s">
        <v>88</v>
      </c>
      <c r="D50" s="54">
        <v>700</v>
      </c>
      <c r="E50" s="52" t="s">
        <v>32</v>
      </c>
      <c r="F50" s="194">
        <v>3405.23</v>
      </c>
      <c r="G50" s="194">
        <v>2383661</v>
      </c>
      <c r="H50" s="51"/>
    </row>
    <row r="51" spans="2:8" x14ac:dyDescent="0.2">
      <c r="B51" s="52">
        <v>7.2</v>
      </c>
      <c r="C51" s="53" t="s">
        <v>60</v>
      </c>
      <c r="D51" s="54">
        <v>300</v>
      </c>
      <c r="E51" s="52" t="s">
        <v>32</v>
      </c>
      <c r="F51" s="194">
        <v>2302.36</v>
      </c>
      <c r="G51" s="194">
        <v>690708</v>
      </c>
      <c r="H51" s="51"/>
    </row>
    <row r="52" spans="2:8" x14ac:dyDescent="0.2">
      <c r="B52" s="52"/>
      <c r="C52" s="53"/>
      <c r="D52" s="54"/>
      <c r="E52" s="52"/>
      <c r="F52" s="194"/>
      <c r="G52" s="194"/>
      <c r="H52" s="51">
        <v>3074369</v>
      </c>
    </row>
    <row r="53" spans="2:8" s="195" customFormat="1" x14ac:dyDescent="0.2">
      <c r="B53" s="83">
        <v>8</v>
      </c>
      <c r="C53" s="84" t="s">
        <v>28</v>
      </c>
      <c r="D53" s="85"/>
      <c r="E53" s="83"/>
      <c r="F53" s="194"/>
      <c r="G53" s="194"/>
      <c r="H53" s="51"/>
    </row>
    <row r="54" spans="2:8" x14ac:dyDescent="0.2">
      <c r="B54" s="52">
        <v>8.1</v>
      </c>
      <c r="C54" s="53" t="s">
        <v>57</v>
      </c>
      <c r="D54" s="54">
        <v>4775</v>
      </c>
      <c r="E54" s="52" t="s">
        <v>12</v>
      </c>
      <c r="F54" s="194">
        <v>154.79</v>
      </c>
      <c r="G54" s="194">
        <v>739122.25</v>
      </c>
      <c r="H54" s="51"/>
    </row>
    <row r="55" spans="2:8" x14ac:dyDescent="0.2">
      <c r="B55" s="52">
        <v>8.1999999999999993</v>
      </c>
      <c r="C55" s="53" t="s">
        <v>58</v>
      </c>
      <c r="D55" s="54">
        <v>9340</v>
      </c>
      <c r="E55" s="52" t="s">
        <v>12</v>
      </c>
      <c r="F55" s="194">
        <v>154.79</v>
      </c>
      <c r="G55" s="194">
        <v>1445738.6</v>
      </c>
      <c r="H55" s="51"/>
    </row>
    <row r="56" spans="2:8" x14ac:dyDescent="0.2">
      <c r="B56" s="52"/>
      <c r="C56" s="53"/>
      <c r="D56" s="54"/>
      <c r="E56" s="52"/>
      <c r="F56" s="194"/>
      <c r="G56" s="194"/>
      <c r="H56" s="51">
        <v>2184860.85</v>
      </c>
    </row>
    <row r="57" spans="2:8" s="195" customFormat="1" x14ac:dyDescent="0.2">
      <c r="B57" s="83">
        <v>9</v>
      </c>
      <c r="C57" s="84" t="s">
        <v>20</v>
      </c>
      <c r="D57" s="85"/>
      <c r="E57" s="83"/>
      <c r="F57" s="194"/>
      <c r="G57" s="194"/>
      <c r="H57" s="51"/>
    </row>
    <row r="58" spans="2:8" ht="22.5" x14ac:dyDescent="0.2">
      <c r="B58" s="52">
        <v>9.1</v>
      </c>
      <c r="C58" s="53" t="s">
        <v>65</v>
      </c>
      <c r="D58" s="54">
        <v>66</v>
      </c>
      <c r="E58" s="52" t="s">
        <v>368</v>
      </c>
      <c r="F58" s="194">
        <v>1659.32</v>
      </c>
      <c r="G58" s="194">
        <v>109515.12</v>
      </c>
      <c r="H58" s="51"/>
    </row>
    <row r="59" spans="2:8" ht="22.5" x14ac:dyDescent="0.2">
      <c r="B59" s="52">
        <v>9.1999999999999993</v>
      </c>
      <c r="C59" s="53" t="s">
        <v>66</v>
      </c>
      <c r="D59" s="54">
        <v>85.8</v>
      </c>
      <c r="E59" s="52" t="s">
        <v>368</v>
      </c>
      <c r="F59" s="194">
        <v>285.89999999999998</v>
      </c>
      <c r="G59" s="194">
        <v>24530.22</v>
      </c>
      <c r="H59" s="51"/>
    </row>
    <row r="60" spans="2:8" x14ac:dyDescent="0.2">
      <c r="B60" s="52"/>
      <c r="C60" s="53"/>
      <c r="D60" s="54"/>
      <c r="E60" s="52"/>
      <c r="F60" s="194"/>
      <c r="G60" s="194"/>
      <c r="H60" s="51">
        <v>134045.34</v>
      </c>
    </row>
    <row r="61" spans="2:8" s="195" customFormat="1" x14ac:dyDescent="0.2">
      <c r="B61" s="83">
        <v>10</v>
      </c>
      <c r="C61" s="84" t="s">
        <v>29</v>
      </c>
      <c r="D61" s="85"/>
      <c r="E61" s="83"/>
      <c r="F61" s="194"/>
      <c r="G61" s="194"/>
      <c r="H61" s="51"/>
    </row>
    <row r="62" spans="2:8" ht="22.5" x14ac:dyDescent="0.2">
      <c r="B62" s="52">
        <v>10.1</v>
      </c>
      <c r="C62" s="53" t="s">
        <v>89</v>
      </c>
      <c r="D62" s="54">
        <v>600</v>
      </c>
      <c r="E62" s="52" t="s">
        <v>369</v>
      </c>
      <c r="F62" s="194">
        <v>1192.75</v>
      </c>
      <c r="G62" s="194">
        <v>715650</v>
      </c>
      <c r="H62" s="51"/>
    </row>
    <row r="63" spans="2:8" x14ac:dyDescent="0.2">
      <c r="B63" s="52">
        <v>10.199999999999999</v>
      </c>
      <c r="C63" s="53" t="s">
        <v>67</v>
      </c>
      <c r="D63" s="54">
        <v>60</v>
      </c>
      <c r="E63" s="52" t="s">
        <v>12</v>
      </c>
      <c r="F63" s="194">
        <v>1310.1300000000001</v>
      </c>
      <c r="G63" s="194">
        <v>78607.8</v>
      </c>
      <c r="H63" s="51"/>
    </row>
    <row r="64" spans="2:8" x14ac:dyDescent="0.2">
      <c r="B64" s="52"/>
      <c r="C64" s="53"/>
      <c r="D64" s="54"/>
      <c r="E64" s="52"/>
      <c r="F64" s="194"/>
      <c r="G64" s="194"/>
      <c r="H64" s="51">
        <v>794257.8</v>
      </c>
    </row>
    <row r="65" spans="2:8" s="195" customFormat="1" x14ac:dyDescent="0.2">
      <c r="B65" s="83">
        <v>11</v>
      </c>
      <c r="C65" s="84" t="s">
        <v>22</v>
      </c>
      <c r="D65" s="85"/>
      <c r="E65" s="83"/>
      <c r="F65" s="194"/>
      <c r="G65" s="194"/>
      <c r="H65" s="51"/>
    </row>
    <row r="66" spans="2:8" x14ac:dyDescent="0.2">
      <c r="B66" s="52">
        <v>11.1</v>
      </c>
      <c r="C66" s="53" t="s">
        <v>68</v>
      </c>
      <c r="D66" s="54">
        <v>33960</v>
      </c>
      <c r="E66" s="52" t="s">
        <v>12</v>
      </c>
      <c r="F66" s="194">
        <v>48.26</v>
      </c>
      <c r="G66" s="194">
        <v>1638909.6</v>
      </c>
      <c r="H66" s="51"/>
    </row>
    <row r="67" spans="2:8" ht="22.5" x14ac:dyDescent="0.2">
      <c r="B67" s="52">
        <v>11.2</v>
      </c>
      <c r="C67" s="53" t="s">
        <v>83</v>
      </c>
      <c r="D67" s="54">
        <v>11359.25</v>
      </c>
      <c r="E67" s="52" t="s">
        <v>369</v>
      </c>
      <c r="F67" s="194">
        <v>50.96</v>
      </c>
      <c r="G67" s="194">
        <v>578867.38</v>
      </c>
      <c r="H67" s="51"/>
    </row>
    <row r="68" spans="2:8" ht="37.5" x14ac:dyDescent="0.2">
      <c r="B68" s="52">
        <v>11.3</v>
      </c>
      <c r="C68" s="53" t="s">
        <v>81</v>
      </c>
      <c r="D68" s="54">
        <v>763.26</v>
      </c>
      <c r="E68" s="52" t="s">
        <v>368</v>
      </c>
      <c r="F68" s="194">
        <v>285.89999999999998</v>
      </c>
      <c r="G68" s="194">
        <v>218216.03</v>
      </c>
      <c r="H68" s="51"/>
    </row>
    <row r="69" spans="2:8" ht="22.5" x14ac:dyDescent="0.2">
      <c r="B69" s="52">
        <v>11.4</v>
      </c>
      <c r="C69" s="53" t="s">
        <v>90</v>
      </c>
      <c r="D69" s="54">
        <v>11359.25</v>
      </c>
      <c r="E69" s="52" t="s">
        <v>369</v>
      </c>
      <c r="F69" s="194">
        <v>166.05</v>
      </c>
      <c r="G69" s="194">
        <v>1886203.46</v>
      </c>
      <c r="H69" s="51"/>
    </row>
    <row r="70" spans="2:8" ht="37.5" x14ac:dyDescent="0.2">
      <c r="B70" s="52">
        <v>11.5</v>
      </c>
      <c r="C70" s="53" t="s">
        <v>370</v>
      </c>
      <c r="D70" s="54">
        <v>14199.06</v>
      </c>
      <c r="E70" s="52" t="s">
        <v>369</v>
      </c>
      <c r="F70" s="194">
        <v>597.63</v>
      </c>
      <c r="G70" s="194">
        <v>8485784.2300000004</v>
      </c>
      <c r="H70" s="51"/>
    </row>
    <row r="71" spans="2:8" ht="22.5" x14ac:dyDescent="0.2">
      <c r="B71" s="52">
        <v>11.6</v>
      </c>
      <c r="C71" s="53" t="s">
        <v>69</v>
      </c>
      <c r="D71" s="54">
        <v>32678.28</v>
      </c>
      <c r="E71" s="52" t="s">
        <v>371</v>
      </c>
      <c r="F71" s="194">
        <v>21</v>
      </c>
      <c r="G71" s="194">
        <v>686243.88</v>
      </c>
      <c r="H71" s="51"/>
    </row>
    <row r="72" spans="2:8" x14ac:dyDescent="0.2">
      <c r="B72" s="52"/>
      <c r="C72" s="53"/>
      <c r="D72" s="54"/>
      <c r="E72" s="52"/>
      <c r="F72" s="194"/>
      <c r="G72" s="194"/>
      <c r="H72" s="51">
        <v>13494224.58</v>
      </c>
    </row>
    <row r="73" spans="2:8" ht="37.5" x14ac:dyDescent="0.2">
      <c r="B73" s="83">
        <v>12</v>
      </c>
      <c r="C73" s="84" t="s">
        <v>84</v>
      </c>
      <c r="D73" s="54"/>
      <c r="E73" s="52"/>
      <c r="F73" s="194"/>
      <c r="G73" s="194"/>
      <c r="H73" s="51"/>
    </row>
    <row r="74" spans="2:8" ht="56.25" x14ac:dyDescent="0.2">
      <c r="B74" s="52">
        <v>12.1</v>
      </c>
      <c r="C74" s="53" t="s">
        <v>91</v>
      </c>
      <c r="D74" s="54">
        <v>14085</v>
      </c>
      <c r="E74" s="52" t="s">
        <v>12</v>
      </c>
      <c r="F74" s="194">
        <v>62.54</v>
      </c>
      <c r="G74" s="194">
        <v>880875.9</v>
      </c>
      <c r="H74" s="51"/>
    </row>
    <row r="75" spans="2:8" ht="37.5" x14ac:dyDescent="0.2">
      <c r="B75" s="52">
        <v>12.2</v>
      </c>
      <c r="C75" s="53" t="s">
        <v>70</v>
      </c>
      <c r="D75" s="54">
        <v>14085</v>
      </c>
      <c r="E75" s="52" t="s">
        <v>12</v>
      </c>
      <c r="F75" s="194">
        <v>17.309999999999999</v>
      </c>
      <c r="G75" s="194">
        <v>243811.35</v>
      </c>
      <c r="H75" s="51"/>
    </row>
    <row r="76" spans="2:8" x14ac:dyDescent="0.2">
      <c r="B76" s="52"/>
      <c r="C76" s="53"/>
      <c r="D76" s="54"/>
      <c r="E76" s="52"/>
      <c r="F76" s="194"/>
      <c r="G76" s="194"/>
      <c r="H76" s="51">
        <v>1124687.25</v>
      </c>
    </row>
    <row r="77" spans="2:8" x14ac:dyDescent="0.2">
      <c r="B77" s="83">
        <v>14</v>
      </c>
      <c r="C77" s="84" t="s">
        <v>16</v>
      </c>
      <c r="D77" s="54">
        <v>14085</v>
      </c>
      <c r="E77" s="52" t="s">
        <v>12</v>
      </c>
      <c r="F77" s="194">
        <v>24.84</v>
      </c>
      <c r="G77" s="194">
        <v>349871.4</v>
      </c>
      <c r="H77" s="51"/>
    </row>
    <row r="78" spans="2:8" x14ac:dyDescent="0.2">
      <c r="B78" s="83"/>
      <c r="C78" s="84"/>
      <c r="D78" s="54"/>
      <c r="E78" s="52"/>
      <c r="F78" s="194"/>
      <c r="G78" s="194"/>
      <c r="H78" s="51">
        <v>349871.4</v>
      </c>
    </row>
    <row r="79" spans="2:8" ht="19.5" thickBot="1" x14ac:dyDescent="0.25">
      <c r="B79" s="83"/>
      <c r="C79" s="84"/>
      <c r="D79" s="54"/>
      <c r="E79" s="52"/>
      <c r="F79" s="194"/>
      <c r="G79" s="194"/>
      <c r="H79" s="51"/>
    </row>
    <row r="80" spans="2:8" ht="19.5" thickBot="1" x14ac:dyDescent="0.25">
      <c r="B80" s="57"/>
      <c r="C80" s="58" t="s">
        <v>381</v>
      </c>
      <c r="D80" s="60"/>
      <c r="E80" s="61"/>
      <c r="F80" s="60"/>
      <c r="G80" s="62"/>
      <c r="H80" s="59">
        <v>39900587.539999999</v>
      </c>
    </row>
    <row r="81" spans="2:9" x14ac:dyDescent="0.2">
      <c r="B81" s="52"/>
      <c r="C81" s="53"/>
      <c r="D81" s="54"/>
      <c r="E81" s="52"/>
      <c r="F81" s="194"/>
      <c r="G81" s="194"/>
      <c r="H81" s="51"/>
    </row>
    <row r="82" spans="2:9" x14ac:dyDescent="0.2">
      <c r="B82" s="83" t="s">
        <v>18</v>
      </c>
      <c r="C82" s="84" t="s">
        <v>9</v>
      </c>
      <c r="D82" s="54"/>
      <c r="E82" s="52"/>
      <c r="F82" s="194"/>
      <c r="G82" s="194"/>
      <c r="H82" s="51"/>
    </row>
    <row r="83" spans="2:9" ht="77.650000000000006" customHeight="1" x14ac:dyDescent="0.2">
      <c r="B83" s="52">
        <v>1</v>
      </c>
      <c r="C83" s="53" t="s">
        <v>92</v>
      </c>
      <c r="D83" s="54">
        <v>4</v>
      </c>
      <c r="E83" s="52" t="s">
        <v>32</v>
      </c>
      <c r="F83" s="194">
        <v>34268.65</v>
      </c>
      <c r="G83" s="194">
        <v>137074.6</v>
      </c>
      <c r="H83" s="51"/>
    </row>
    <row r="84" spans="2:9" x14ac:dyDescent="0.2">
      <c r="B84" s="83"/>
      <c r="C84" s="84"/>
      <c r="D84" s="54"/>
      <c r="E84" s="52"/>
      <c r="F84" s="194"/>
      <c r="G84" s="194"/>
      <c r="H84" s="51"/>
    </row>
    <row r="85" spans="2:9" x14ac:dyDescent="0.2">
      <c r="B85" s="52">
        <v>2</v>
      </c>
      <c r="C85" s="53" t="s">
        <v>93</v>
      </c>
      <c r="D85" s="54">
        <v>10</v>
      </c>
      <c r="E85" s="52" t="s">
        <v>85</v>
      </c>
      <c r="F85" s="194">
        <v>24479.17</v>
      </c>
      <c r="G85" s="194">
        <v>244791.7</v>
      </c>
      <c r="H85" s="51"/>
    </row>
    <row r="86" spans="2:9" x14ac:dyDescent="0.2">
      <c r="B86" s="52"/>
      <c r="C86" s="53"/>
      <c r="D86" s="54"/>
      <c r="E86" s="52"/>
      <c r="F86" s="194"/>
      <c r="G86" s="194"/>
      <c r="H86" s="51">
        <v>381866.3</v>
      </c>
    </row>
    <row r="87" spans="2:9" ht="19.5" thickBot="1" x14ac:dyDescent="0.25">
      <c r="B87" s="52"/>
      <c r="C87" s="53"/>
      <c r="D87" s="54"/>
      <c r="E87" s="52"/>
      <c r="F87" s="194"/>
      <c r="G87" s="194"/>
      <c r="H87" s="51"/>
    </row>
    <row r="88" spans="2:9" ht="19.5" thickBot="1" x14ac:dyDescent="0.25">
      <c r="B88" s="57"/>
      <c r="C88" s="58" t="s">
        <v>380</v>
      </c>
      <c r="D88" s="60"/>
      <c r="E88" s="61"/>
      <c r="F88" s="60"/>
      <c r="G88" s="62"/>
      <c r="H88" s="59">
        <v>381866.3</v>
      </c>
    </row>
    <row r="89" spans="2:9" x14ac:dyDescent="0.2">
      <c r="B89" s="55"/>
      <c r="C89" s="56"/>
      <c r="D89" s="201"/>
      <c r="E89" s="202"/>
      <c r="F89" s="192"/>
      <c r="G89" s="194"/>
      <c r="H89" s="51"/>
    </row>
    <row r="90" spans="2:9" ht="19.5" thickBot="1" x14ac:dyDescent="0.25">
      <c r="B90" s="55"/>
      <c r="C90" s="50"/>
      <c r="D90" s="192"/>
      <c r="E90" s="193"/>
      <c r="F90" s="194"/>
      <c r="G90" s="194"/>
      <c r="H90" s="51"/>
    </row>
    <row r="91" spans="2:9" ht="19.5" thickBot="1" x14ac:dyDescent="0.25">
      <c r="B91" s="57"/>
      <c r="C91" s="58" t="s">
        <v>372</v>
      </c>
      <c r="D91" s="60"/>
      <c r="E91" s="61"/>
      <c r="F91" s="60"/>
      <c r="G91" s="62"/>
      <c r="H91" s="59">
        <v>40282453.840000004</v>
      </c>
    </row>
    <row r="92" spans="2:9" x14ac:dyDescent="0.2">
      <c r="B92" s="68"/>
      <c r="C92" s="63"/>
      <c r="D92" s="64"/>
      <c r="E92" s="65"/>
      <c r="F92" s="64"/>
      <c r="G92" s="64"/>
      <c r="H92" s="64"/>
      <c r="I92" s="203"/>
    </row>
    <row r="93" spans="2:9" x14ac:dyDescent="0.2">
      <c r="B93" s="73"/>
      <c r="C93" s="66" t="s">
        <v>373</v>
      </c>
      <c r="D93" s="67"/>
      <c r="E93" s="68"/>
      <c r="G93" s="69"/>
      <c r="H93" s="69"/>
    </row>
    <row r="94" spans="2:9" x14ac:dyDescent="0.2">
      <c r="B94" s="73"/>
      <c r="C94" s="186" t="s">
        <v>71</v>
      </c>
      <c r="D94" s="204">
        <v>0.03</v>
      </c>
      <c r="E94" s="71"/>
      <c r="G94" s="188">
        <v>1208473.6200000001</v>
      </c>
      <c r="H94" s="69"/>
    </row>
    <row r="95" spans="2:9" x14ac:dyDescent="0.2">
      <c r="B95" s="73"/>
      <c r="C95" s="186" t="s">
        <v>72</v>
      </c>
      <c r="D95" s="204">
        <v>0.1</v>
      </c>
      <c r="E95" s="71"/>
      <c r="G95" s="188">
        <v>4028245.38</v>
      </c>
      <c r="H95" s="69"/>
    </row>
    <row r="96" spans="2:9" x14ac:dyDescent="0.2">
      <c r="B96" s="73"/>
      <c r="C96" s="186" t="s">
        <v>73</v>
      </c>
      <c r="D96" s="204">
        <v>0.04</v>
      </c>
      <c r="E96" s="71"/>
      <c r="G96" s="188">
        <v>1611298.15</v>
      </c>
      <c r="H96" s="69"/>
    </row>
    <row r="97" spans="2:8" x14ac:dyDescent="0.2">
      <c r="B97" s="73"/>
      <c r="C97" s="186" t="s">
        <v>74</v>
      </c>
      <c r="D97" s="204">
        <v>0.05</v>
      </c>
      <c r="E97" s="71"/>
      <c r="G97" s="188">
        <v>2014122.69</v>
      </c>
      <c r="H97" s="69"/>
    </row>
    <row r="98" spans="2:8" x14ac:dyDescent="0.2">
      <c r="B98" s="73"/>
      <c r="C98" s="186" t="s">
        <v>75</v>
      </c>
      <c r="D98" s="204">
        <v>4.4999999999999998E-2</v>
      </c>
      <c r="E98" s="71"/>
      <c r="G98" s="188">
        <v>1812710.42</v>
      </c>
      <c r="H98" s="69"/>
    </row>
    <row r="99" spans="2:8" x14ac:dyDescent="0.2">
      <c r="B99" s="73"/>
      <c r="C99" s="186" t="s">
        <v>76</v>
      </c>
      <c r="D99" s="204">
        <v>0.01</v>
      </c>
      <c r="E99" s="71"/>
      <c r="G99" s="188">
        <v>402824.54</v>
      </c>
      <c r="H99" s="69"/>
    </row>
    <row r="100" spans="2:8" x14ac:dyDescent="0.2">
      <c r="B100" s="73"/>
      <c r="C100" s="186" t="s">
        <v>77</v>
      </c>
      <c r="D100" s="204">
        <v>0.18</v>
      </c>
      <c r="E100" s="71"/>
      <c r="F100" s="72"/>
      <c r="G100" s="188">
        <v>725084.17</v>
      </c>
      <c r="H100" s="69"/>
    </row>
    <row r="101" spans="2:8" x14ac:dyDescent="0.2">
      <c r="B101" s="73"/>
      <c r="C101" s="186" t="s">
        <v>14</v>
      </c>
      <c r="D101" s="204">
        <v>1E-3</v>
      </c>
      <c r="E101" s="71"/>
      <c r="F101" s="72"/>
      <c r="G101" s="188">
        <v>40282.449999999997</v>
      </c>
      <c r="H101" s="69"/>
    </row>
    <row r="102" spans="2:8" x14ac:dyDescent="0.2">
      <c r="B102" s="73"/>
      <c r="C102" s="186" t="s">
        <v>80</v>
      </c>
      <c r="D102" s="204">
        <v>0.05</v>
      </c>
      <c r="E102" s="71"/>
      <c r="F102" s="72"/>
      <c r="G102" s="188">
        <v>2014122.69</v>
      </c>
      <c r="H102" s="69"/>
    </row>
    <row r="103" spans="2:8" ht="37.5" x14ac:dyDescent="0.2">
      <c r="B103" s="73"/>
      <c r="C103" s="187" t="s">
        <v>79</v>
      </c>
      <c r="D103" s="204">
        <v>0.03</v>
      </c>
      <c r="E103" s="71"/>
      <c r="F103" s="72"/>
      <c r="G103" s="188">
        <v>1208473.6200000001</v>
      </c>
      <c r="H103" s="72"/>
    </row>
    <row r="104" spans="2:8" x14ac:dyDescent="0.2">
      <c r="B104" s="73"/>
      <c r="C104" s="186" t="s">
        <v>78</v>
      </c>
      <c r="D104" s="204">
        <v>0.1</v>
      </c>
      <c r="E104" s="68"/>
      <c r="G104" s="188">
        <v>4028245.38</v>
      </c>
      <c r="H104" s="69"/>
    </row>
    <row r="105" spans="2:8" x14ac:dyDescent="0.2">
      <c r="B105" s="73"/>
      <c r="C105" s="66"/>
      <c r="D105" s="67"/>
      <c r="E105" s="68"/>
      <c r="G105" s="69"/>
      <c r="H105" s="72">
        <v>19093883.109999999</v>
      </c>
    </row>
    <row r="106" spans="2:8" ht="19.5" thickBot="1" x14ac:dyDescent="0.25">
      <c r="B106" s="68"/>
      <c r="C106" s="66"/>
      <c r="D106" s="72"/>
      <c r="E106" s="73"/>
      <c r="F106" s="72"/>
      <c r="G106" s="72"/>
      <c r="H106" s="72"/>
    </row>
    <row r="107" spans="2:8" ht="19.5" thickBot="1" x14ac:dyDescent="0.25">
      <c r="B107" s="74"/>
      <c r="C107" s="362" t="s">
        <v>374</v>
      </c>
      <c r="D107" s="362"/>
      <c r="E107" s="362"/>
      <c r="F107" s="75"/>
      <c r="G107" s="75"/>
      <c r="H107" s="76">
        <v>59376336.950000003</v>
      </c>
    </row>
    <row r="108" spans="2:8" x14ac:dyDescent="0.2">
      <c r="B108" s="361"/>
      <c r="C108" s="361"/>
      <c r="D108" s="189"/>
      <c r="E108" s="361"/>
      <c r="F108" s="361"/>
      <c r="G108" s="361"/>
      <c r="H108" s="190"/>
    </row>
    <row r="109" spans="2:8" x14ac:dyDescent="0.2">
      <c r="B109" s="205"/>
      <c r="C109" s="205"/>
      <c r="D109" s="189"/>
      <c r="E109" s="205"/>
      <c r="F109" s="205"/>
      <c r="G109" s="205"/>
      <c r="H109" s="190"/>
    </row>
    <row r="110" spans="2:8" x14ac:dyDescent="0.2">
      <c r="B110" s="205"/>
      <c r="C110" s="205"/>
      <c r="D110" s="189"/>
      <c r="E110" s="205"/>
      <c r="F110" s="205"/>
      <c r="G110" s="205"/>
      <c r="H110" s="190"/>
    </row>
    <row r="111" spans="2:8" ht="18" customHeight="1" x14ac:dyDescent="0.2">
      <c r="B111" s="361" t="s">
        <v>375</v>
      </c>
      <c r="C111" s="361"/>
      <c r="D111" s="189"/>
      <c r="E111" s="361"/>
      <c r="F111" s="361"/>
      <c r="G111" s="361"/>
      <c r="H111" s="190"/>
    </row>
    <row r="112" spans="2:8" x14ac:dyDescent="0.2">
      <c r="B112" s="361"/>
      <c r="C112" s="361"/>
      <c r="D112" s="189"/>
      <c r="E112" s="190"/>
      <c r="F112" s="190"/>
      <c r="G112" s="190"/>
      <c r="H112" s="190"/>
    </row>
    <row r="113" spans="2:8" ht="19.5" thickBot="1" x14ac:dyDescent="0.25">
      <c r="B113" s="190"/>
      <c r="C113" s="190"/>
      <c r="D113" s="189"/>
      <c r="E113" s="190"/>
      <c r="F113" s="190"/>
      <c r="G113" s="190"/>
      <c r="H113" s="190"/>
    </row>
    <row r="114" spans="2:8" ht="38.25" thickBot="1" x14ac:dyDescent="0.25">
      <c r="B114" s="44" t="s">
        <v>360</v>
      </c>
      <c r="C114" s="45" t="s">
        <v>361</v>
      </c>
      <c r="D114" s="46" t="s">
        <v>362</v>
      </c>
      <c r="E114" s="45" t="s">
        <v>363</v>
      </c>
      <c r="F114" s="47" t="s">
        <v>364</v>
      </c>
      <c r="G114" s="48" t="s">
        <v>365</v>
      </c>
      <c r="H114" s="49" t="s">
        <v>366</v>
      </c>
    </row>
    <row r="115" spans="2:8" x14ac:dyDescent="0.2">
      <c r="B115" s="191"/>
      <c r="C115" s="50"/>
      <c r="D115" s="192"/>
      <c r="E115" s="193"/>
      <c r="F115" s="194"/>
      <c r="G115" s="194"/>
      <c r="H115" s="51"/>
    </row>
    <row r="116" spans="2:8" s="195" customFormat="1" x14ac:dyDescent="0.2">
      <c r="B116" s="196" t="s">
        <v>10</v>
      </c>
      <c r="C116" s="86" t="s">
        <v>367</v>
      </c>
      <c r="D116" s="197"/>
      <c r="E116" s="83"/>
      <c r="F116" s="198"/>
      <c r="G116" s="198"/>
      <c r="H116" s="51"/>
    </row>
    <row r="117" spans="2:8" x14ac:dyDescent="0.2">
      <c r="B117" s="199"/>
      <c r="C117" s="50"/>
      <c r="D117" s="200"/>
      <c r="E117" s="52"/>
      <c r="F117" s="194"/>
      <c r="G117" s="194"/>
      <c r="H117" s="51"/>
    </row>
    <row r="118" spans="2:8" s="195" customFormat="1" x14ac:dyDescent="0.2">
      <c r="B118" s="83">
        <v>1</v>
      </c>
      <c r="C118" s="84" t="s">
        <v>86</v>
      </c>
      <c r="D118" s="85"/>
      <c r="E118" s="83"/>
      <c r="F118" s="198"/>
      <c r="G118" s="198"/>
      <c r="H118" s="51"/>
    </row>
    <row r="119" spans="2:8" x14ac:dyDescent="0.2">
      <c r="B119" s="52">
        <v>1.1000000000000001</v>
      </c>
      <c r="C119" s="53" t="s">
        <v>51</v>
      </c>
      <c r="D119" s="54">
        <v>14085</v>
      </c>
      <c r="E119" s="52" t="s">
        <v>12</v>
      </c>
      <c r="F119" s="194">
        <v>43.63</v>
      </c>
      <c r="G119" s="194">
        <v>614528.55000000005</v>
      </c>
      <c r="H119" s="51"/>
    </row>
    <row r="120" spans="2:8" x14ac:dyDescent="0.2">
      <c r="B120" s="52"/>
      <c r="C120" s="53"/>
      <c r="D120" s="54"/>
      <c r="E120" s="52"/>
      <c r="F120" s="194"/>
      <c r="G120" s="194"/>
      <c r="H120" s="51">
        <v>614528.55000000005</v>
      </c>
    </row>
    <row r="121" spans="2:8" s="195" customFormat="1" x14ac:dyDescent="0.2">
      <c r="B121" s="83">
        <v>2</v>
      </c>
      <c r="C121" s="84" t="s">
        <v>15</v>
      </c>
      <c r="D121" s="85"/>
      <c r="E121" s="83"/>
      <c r="F121" s="198"/>
      <c r="G121" s="194"/>
      <c r="H121" s="51"/>
    </row>
    <row r="122" spans="2:8" ht="22.5" x14ac:dyDescent="0.2">
      <c r="B122" s="52">
        <v>2.1</v>
      </c>
      <c r="C122" s="53" t="s">
        <v>52</v>
      </c>
      <c r="D122" s="54">
        <v>10093.93</v>
      </c>
      <c r="E122" s="52" t="s">
        <v>368</v>
      </c>
      <c r="F122" s="194">
        <v>265.76</v>
      </c>
      <c r="G122" s="194">
        <v>2682562.84</v>
      </c>
      <c r="H122" s="51"/>
    </row>
    <row r="123" spans="2:8" ht="22.5" x14ac:dyDescent="0.2">
      <c r="B123" s="52">
        <v>2.2000000000000002</v>
      </c>
      <c r="C123" s="53" t="s">
        <v>53</v>
      </c>
      <c r="D123" s="54">
        <v>9392.5</v>
      </c>
      <c r="E123" s="52" t="s">
        <v>369</v>
      </c>
      <c r="F123" s="194">
        <v>42.27</v>
      </c>
      <c r="G123" s="194">
        <v>397020.98</v>
      </c>
      <c r="H123" s="51"/>
    </row>
    <row r="124" spans="2:8" ht="22.5" x14ac:dyDescent="0.2">
      <c r="B124" s="52">
        <v>2.2999999999999998</v>
      </c>
      <c r="C124" s="53" t="s">
        <v>54</v>
      </c>
      <c r="D124" s="54">
        <v>985.95</v>
      </c>
      <c r="E124" s="52" t="s">
        <v>368</v>
      </c>
      <c r="F124" s="194">
        <v>1958.53</v>
      </c>
      <c r="G124" s="194">
        <v>1931012.65</v>
      </c>
      <c r="H124" s="51"/>
    </row>
    <row r="125" spans="2:8" ht="37.5" x14ac:dyDescent="0.2">
      <c r="B125" s="52">
        <v>2.4</v>
      </c>
      <c r="C125" s="53" t="s">
        <v>87</v>
      </c>
      <c r="D125" s="54">
        <v>8575.59</v>
      </c>
      <c r="E125" s="52" t="s">
        <v>368</v>
      </c>
      <c r="F125" s="194">
        <v>331.18</v>
      </c>
      <c r="G125" s="194">
        <v>2840063.9</v>
      </c>
      <c r="H125" s="51"/>
    </row>
    <row r="126" spans="2:8" ht="37.5" x14ac:dyDescent="0.2">
      <c r="B126" s="52">
        <v>2.5</v>
      </c>
      <c r="C126" s="53" t="s">
        <v>61</v>
      </c>
      <c r="D126" s="54">
        <v>1822.01</v>
      </c>
      <c r="E126" s="52" t="s">
        <v>368</v>
      </c>
      <c r="F126" s="194">
        <v>303.39</v>
      </c>
      <c r="G126" s="194">
        <v>552779.61</v>
      </c>
      <c r="H126" s="51"/>
    </row>
    <row r="127" spans="2:8" x14ac:dyDescent="0.2">
      <c r="B127" s="52"/>
      <c r="C127" s="53"/>
      <c r="D127" s="54"/>
      <c r="E127" s="52"/>
      <c r="F127" s="194"/>
      <c r="G127" s="194"/>
      <c r="H127" s="51">
        <v>8403439.9800000004</v>
      </c>
    </row>
    <row r="128" spans="2:8" s="195" customFormat="1" x14ac:dyDescent="0.2">
      <c r="B128" s="83">
        <v>3</v>
      </c>
      <c r="C128" s="84" t="s">
        <v>25</v>
      </c>
      <c r="D128" s="85"/>
      <c r="E128" s="83"/>
      <c r="F128" s="198"/>
      <c r="G128" s="194"/>
      <c r="H128" s="51"/>
    </row>
    <row r="129" spans="2:8" x14ac:dyDescent="0.2">
      <c r="B129" s="52">
        <v>3.1</v>
      </c>
      <c r="C129" s="53" t="s">
        <v>55</v>
      </c>
      <c r="D129" s="54">
        <v>4839.8999999999996</v>
      </c>
      <c r="E129" s="52" t="s">
        <v>12</v>
      </c>
      <c r="F129" s="194">
        <v>1038.83</v>
      </c>
      <c r="G129" s="194">
        <v>5027833.32</v>
      </c>
      <c r="H129" s="51"/>
    </row>
    <row r="130" spans="2:8" x14ac:dyDescent="0.2">
      <c r="B130" s="52">
        <v>3.2</v>
      </c>
      <c r="C130" s="53" t="s">
        <v>56</v>
      </c>
      <c r="D130" s="54">
        <v>9526.7999999999993</v>
      </c>
      <c r="E130" s="52" t="s">
        <v>12</v>
      </c>
      <c r="F130" s="194">
        <v>641.52</v>
      </c>
      <c r="G130" s="194">
        <v>6111632.7400000002</v>
      </c>
      <c r="H130" s="51"/>
    </row>
    <row r="131" spans="2:8" x14ac:dyDescent="0.2">
      <c r="B131" s="52"/>
      <c r="C131" s="53"/>
      <c r="D131" s="54"/>
      <c r="E131" s="52"/>
      <c r="F131" s="194"/>
      <c r="G131" s="194"/>
      <c r="H131" s="51">
        <v>11139466.060000001</v>
      </c>
    </row>
    <row r="132" spans="2:8" s="195" customFormat="1" x14ac:dyDescent="0.2">
      <c r="B132" s="83">
        <v>4</v>
      </c>
      <c r="C132" s="84" t="s">
        <v>26</v>
      </c>
      <c r="D132" s="85"/>
      <c r="E132" s="83"/>
      <c r="F132" s="198"/>
      <c r="G132" s="194"/>
      <c r="H132" s="51"/>
    </row>
    <row r="133" spans="2:8" x14ac:dyDescent="0.2">
      <c r="B133" s="52">
        <v>4.0999999999999996</v>
      </c>
      <c r="C133" s="53" t="s">
        <v>57</v>
      </c>
      <c r="D133" s="54">
        <v>4839.8999999999996</v>
      </c>
      <c r="E133" s="52" t="s">
        <v>12</v>
      </c>
      <c r="F133" s="194">
        <v>288.3</v>
      </c>
      <c r="G133" s="194">
        <v>1395343.17</v>
      </c>
      <c r="H133" s="51"/>
    </row>
    <row r="134" spans="2:8" x14ac:dyDescent="0.2">
      <c r="B134" s="52">
        <v>4.2</v>
      </c>
      <c r="C134" s="53" t="s">
        <v>58</v>
      </c>
      <c r="D134" s="54">
        <v>9526.7999999999993</v>
      </c>
      <c r="E134" s="52" t="s">
        <v>12</v>
      </c>
      <c r="F134" s="194">
        <v>259.86</v>
      </c>
      <c r="G134" s="194">
        <v>2475634.25</v>
      </c>
      <c r="H134" s="51"/>
    </row>
    <row r="135" spans="2:8" x14ac:dyDescent="0.2">
      <c r="B135" s="52"/>
      <c r="C135" s="53"/>
      <c r="D135" s="54"/>
      <c r="E135" s="52"/>
      <c r="F135" s="194"/>
      <c r="G135" s="194"/>
      <c r="H135" s="51">
        <v>3870977.42</v>
      </c>
    </row>
    <row r="136" spans="2:8" s="195" customFormat="1" ht="37.5" x14ac:dyDescent="0.2">
      <c r="B136" s="83">
        <v>5</v>
      </c>
      <c r="C136" s="84" t="s">
        <v>31</v>
      </c>
      <c r="D136" s="85"/>
      <c r="E136" s="83"/>
      <c r="F136" s="198"/>
      <c r="G136" s="194"/>
      <c r="H136" s="51"/>
    </row>
    <row r="137" spans="2:8" x14ac:dyDescent="0.2">
      <c r="B137" s="52">
        <v>5.0999999999999996</v>
      </c>
      <c r="C137" s="53" t="s">
        <v>33</v>
      </c>
      <c r="D137" s="54">
        <v>1</v>
      </c>
      <c r="E137" s="52" t="s">
        <v>32</v>
      </c>
      <c r="F137" s="194">
        <v>622.77</v>
      </c>
      <c r="G137" s="194">
        <v>622.77</v>
      </c>
      <c r="H137" s="51"/>
    </row>
    <row r="138" spans="2:8" x14ac:dyDescent="0.2">
      <c r="B138" s="52">
        <v>5.2</v>
      </c>
      <c r="C138" s="53" t="s">
        <v>34</v>
      </c>
      <c r="D138" s="54">
        <v>13</v>
      </c>
      <c r="E138" s="52" t="s">
        <v>32</v>
      </c>
      <c r="F138" s="194">
        <v>605.28</v>
      </c>
      <c r="G138" s="194">
        <v>7868.64</v>
      </c>
      <c r="H138" s="51"/>
    </row>
    <row r="139" spans="2:8" x14ac:dyDescent="0.2">
      <c r="B139" s="52">
        <v>5.3</v>
      </c>
      <c r="C139" s="53" t="s">
        <v>35</v>
      </c>
      <c r="D139" s="54">
        <v>4</v>
      </c>
      <c r="E139" s="52" t="s">
        <v>32</v>
      </c>
      <c r="F139" s="194">
        <v>359.84</v>
      </c>
      <c r="G139" s="194">
        <v>1439.36</v>
      </c>
      <c r="H139" s="51"/>
    </row>
    <row r="140" spans="2:8" x14ac:dyDescent="0.2">
      <c r="B140" s="52">
        <v>5.4</v>
      </c>
      <c r="C140" s="53" t="s">
        <v>36</v>
      </c>
      <c r="D140" s="54">
        <v>36</v>
      </c>
      <c r="E140" s="52" t="s">
        <v>32</v>
      </c>
      <c r="F140" s="194">
        <v>344.5</v>
      </c>
      <c r="G140" s="194">
        <v>12402</v>
      </c>
      <c r="H140" s="51"/>
    </row>
    <row r="141" spans="2:8" x14ac:dyDescent="0.2">
      <c r="B141" s="52">
        <v>5.5</v>
      </c>
      <c r="C141" s="53" t="s">
        <v>37</v>
      </c>
      <c r="D141" s="54">
        <v>38</v>
      </c>
      <c r="E141" s="52" t="s">
        <v>32</v>
      </c>
      <c r="F141" s="194">
        <v>743.69</v>
      </c>
      <c r="G141" s="194">
        <v>28260.22</v>
      </c>
      <c r="H141" s="51"/>
    </row>
    <row r="142" spans="2:8" x14ac:dyDescent="0.2">
      <c r="B142" s="52">
        <v>5.6</v>
      </c>
      <c r="C142" s="53" t="s">
        <v>38</v>
      </c>
      <c r="D142" s="54">
        <v>26</v>
      </c>
      <c r="E142" s="52" t="s">
        <v>32</v>
      </c>
      <c r="F142" s="194">
        <v>658.97</v>
      </c>
      <c r="G142" s="194">
        <v>17133.22</v>
      </c>
      <c r="H142" s="51"/>
    </row>
    <row r="143" spans="2:8" x14ac:dyDescent="0.2">
      <c r="B143" s="52">
        <v>5.7</v>
      </c>
      <c r="C143" s="53" t="s">
        <v>39</v>
      </c>
      <c r="D143" s="54">
        <v>4</v>
      </c>
      <c r="E143" s="52" t="s">
        <v>32</v>
      </c>
      <c r="F143" s="194">
        <v>697.78</v>
      </c>
      <c r="G143" s="194">
        <v>2791.12</v>
      </c>
      <c r="H143" s="51"/>
    </row>
    <row r="144" spans="2:8" x14ac:dyDescent="0.2">
      <c r="B144" s="52">
        <v>5.8</v>
      </c>
      <c r="C144" s="53" t="s">
        <v>40</v>
      </c>
      <c r="D144" s="54">
        <v>3</v>
      </c>
      <c r="E144" s="52" t="s">
        <v>32</v>
      </c>
      <c r="F144" s="194">
        <v>329.16</v>
      </c>
      <c r="G144" s="194">
        <v>987.48</v>
      </c>
      <c r="H144" s="51"/>
    </row>
    <row r="145" spans="2:8" x14ac:dyDescent="0.2">
      <c r="B145" s="52">
        <v>5.9</v>
      </c>
      <c r="C145" s="53" t="s">
        <v>50</v>
      </c>
      <c r="D145" s="54">
        <v>1</v>
      </c>
      <c r="E145" s="52" t="s">
        <v>32</v>
      </c>
      <c r="F145" s="194">
        <v>1290.53</v>
      </c>
      <c r="G145" s="194">
        <v>1290.53</v>
      </c>
      <c r="H145" s="51"/>
    </row>
    <row r="146" spans="2:8" x14ac:dyDescent="0.2">
      <c r="B146" s="52">
        <v>5.0999999999999996</v>
      </c>
      <c r="C146" s="53" t="s">
        <v>41</v>
      </c>
      <c r="D146" s="54">
        <v>1</v>
      </c>
      <c r="E146" s="52" t="s">
        <v>32</v>
      </c>
      <c r="F146" s="194">
        <v>1122.6600000000001</v>
      </c>
      <c r="G146" s="194">
        <v>1122.6600000000001</v>
      </c>
      <c r="H146" s="51"/>
    </row>
    <row r="147" spans="2:8" x14ac:dyDescent="0.2">
      <c r="B147" s="52">
        <v>5.1100000000000003</v>
      </c>
      <c r="C147" s="53" t="s">
        <v>42</v>
      </c>
      <c r="D147" s="54">
        <v>33</v>
      </c>
      <c r="E147" s="52" t="s">
        <v>32</v>
      </c>
      <c r="F147" s="194">
        <v>976.48</v>
      </c>
      <c r="G147" s="194">
        <v>32223.84</v>
      </c>
      <c r="H147" s="51"/>
    </row>
    <row r="148" spans="2:8" x14ac:dyDescent="0.2">
      <c r="B148" s="52">
        <v>5.12</v>
      </c>
      <c r="C148" s="53" t="s">
        <v>43</v>
      </c>
      <c r="D148" s="54">
        <v>1</v>
      </c>
      <c r="E148" s="52" t="s">
        <v>32</v>
      </c>
      <c r="F148" s="194">
        <v>488.67</v>
      </c>
      <c r="G148" s="194">
        <v>488.67</v>
      </c>
      <c r="H148" s="51"/>
    </row>
    <row r="149" spans="2:8" x14ac:dyDescent="0.2">
      <c r="B149" s="52">
        <v>5.13</v>
      </c>
      <c r="C149" s="53" t="s">
        <v>44</v>
      </c>
      <c r="D149" s="54">
        <v>16</v>
      </c>
      <c r="E149" s="52" t="s">
        <v>32</v>
      </c>
      <c r="F149" s="194">
        <v>442.65</v>
      </c>
      <c r="G149" s="194">
        <v>7082.4</v>
      </c>
      <c r="H149" s="51"/>
    </row>
    <row r="150" spans="2:8" x14ac:dyDescent="0.2">
      <c r="B150" s="52">
        <v>5.14</v>
      </c>
      <c r="C150" s="53" t="s">
        <v>46</v>
      </c>
      <c r="D150" s="54">
        <v>8.85</v>
      </c>
      <c r="E150" s="52" t="s">
        <v>45</v>
      </c>
      <c r="F150" s="194">
        <v>8430.61</v>
      </c>
      <c r="G150" s="194">
        <v>74610.899999999994</v>
      </c>
      <c r="H150" s="51"/>
    </row>
    <row r="151" spans="2:8" x14ac:dyDescent="0.2">
      <c r="B151" s="52"/>
      <c r="C151" s="53"/>
      <c r="D151" s="54"/>
      <c r="E151" s="52"/>
      <c r="F151" s="194"/>
      <c r="G151" s="194"/>
      <c r="H151" s="51">
        <v>188323.81</v>
      </c>
    </row>
    <row r="152" spans="2:8" s="195" customFormat="1" x14ac:dyDescent="0.2">
      <c r="B152" s="83">
        <v>6</v>
      </c>
      <c r="C152" s="84" t="s">
        <v>27</v>
      </c>
      <c r="D152" s="85"/>
      <c r="E152" s="83"/>
      <c r="F152" s="198"/>
      <c r="G152" s="194"/>
      <c r="H152" s="51"/>
    </row>
    <row r="153" spans="2:8" ht="56.25" x14ac:dyDescent="0.2">
      <c r="B153" s="52">
        <v>6.1</v>
      </c>
      <c r="C153" s="53" t="s">
        <v>62</v>
      </c>
      <c r="D153" s="54">
        <v>3</v>
      </c>
      <c r="E153" s="52" t="s">
        <v>32</v>
      </c>
      <c r="F153" s="194">
        <v>23383</v>
      </c>
      <c r="G153" s="194">
        <v>70149</v>
      </c>
      <c r="H153" s="51"/>
    </row>
    <row r="154" spans="2:8" ht="56.25" x14ac:dyDescent="0.2">
      <c r="B154" s="52">
        <v>6.2</v>
      </c>
      <c r="C154" s="53" t="s">
        <v>63</v>
      </c>
      <c r="D154" s="54">
        <v>3</v>
      </c>
      <c r="E154" s="52" t="s">
        <v>32</v>
      </c>
      <c r="F154" s="194">
        <v>23813.5</v>
      </c>
      <c r="G154" s="194">
        <v>71440.5</v>
      </c>
      <c r="H154" s="51"/>
    </row>
    <row r="155" spans="2:8" x14ac:dyDescent="0.2">
      <c r="B155" s="52">
        <v>6.3</v>
      </c>
      <c r="C155" s="53" t="s">
        <v>64</v>
      </c>
      <c r="D155" s="54">
        <v>6</v>
      </c>
      <c r="E155" s="52" t="s">
        <v>32</v>
      </c>
      <c r="F155" s="194">
        <v>8119.41</v>
      </c>
      <c r="G155" s="194">
        <v>48716.46</v>
      </c>
      <c r="H155" s="51"/>
    </row>
    <row r="156" spans="2:8" x14ac:dyDescent="0.2">
      <c r="B156" s="52"/>
      <c r="C156" s="53"/>
      <c r="D156" s="54"/>
      <c r="E156" s="52"/>
      <c r="F156" s="194"/>
      <c r="G156" s="194"/>
      <c r="H156" s="51">
        <v>190305.96</v>
      </c>
    </row>
    <row r="157" spans="2:8" s="195" customFormat="1" x14ac:dyDescent="0.2">
      <c r="B157" s="83">
        <v>7</v>
      </c>
      <c r="C157" s="84" t="s">
        <v>59</v>
      </c>
      <c r="D157" s="85"/>
      <c r="E157" s="83"/>
      <c r="F157" s="198"/>
      <c r="G157" s="194"/>
      <c r="H157" s="51"/>
    </row>
    <row r="158" spans="2:8" ht="37.5" x14ac:dyDescent="0.2">
      <c r="B158" s="52">
        <v>7.1</v>
      </c>
      <c r="C158" s="53" t="s">
        <v>88</v>
      </c>
      <c r="D158" s="54">
        <v>700</v>
      </c>
      <c r="E158" s="52" t="s">
        <v>32</v>
      </c>
      <c r="F158" s="194">
        <v>4937.6499999999996</v>
      </c>
      <c r="G158" s="194">
        <v>3456355</v>
      </c>
      <c r="H158" s="51"/>
    </row>
    <row r="159" spans="2:8" x14ac:dyDescent="0.2">
      <c r="B159" s="52">
        <v>7.2</v>
      </c>
      <c r="C159" s="53" t="s">
        <v>60</v>
      </c>
      <c r="D159" s="54">
        <v>300</v>
      </c>
      <c r="E159" s="52" t="s">
        <v>32</v>
      </c>
      <c r="F159" s="194">
        <v>2993.1</v>
      </c>
      <c r="G159" s="194">
        <v>897930</v>
      </c>
      <c r="H159" s="51"/>
    </row>
    <row r="160" spans="2:8" x14ac:dyDescent="0.2">
      <c r="B160" s="52"/>
      <c r="C160" s="53"/>
      <c r="D160" s="54"/>
      <c r="E160" s="52"/>
      <c r="F160" s="194"/>
      <c r="G160" s="194"/>
      <c r="H160" s="51">
        <v>4354285</v>
      </c>
    </row>
    <row r="161" spans="2:8" s="195" customFormat="1" x14ac:dyDescent="0.2">
      <c r="B161" s="83">
        <v>8</v>
      </c>
      <c r="C161" s="84" t="s">
        <v>28</v>
      </c>
      <c r="D161" s="85"/>
      <c r="E161" s="83"/>
      <c r="F161" s="198"/>
      <c r="G161" s="194"/>
      <c r="H161" s="51"/>
    </row>
    <row r="162" spans="2:8" x14ac:dyDescent="0.2">
      <c r="B162" s="52">
        <v>8.1</v>
      </c>
      <c r="C162" s="53" t="s">
        <v>57</v>
      </c>
      <c r="D162" s="54">
        <v>4775</v>
      </c>
      <c r="E162" s="52" t="s">
        <v>12</v>
      </c>
      <c r="F162" s="194">
        <v>183.23</v>
      </c>
      <c r="G162" s="194">
        <v>874923.25</v>
      </c>
      <c r="H162" s="51"/>
    </row>
    <row r="163" spans="2:8" x14ac:dyDescent="0.2">
      <c r="B163" s="52">
        <v>8.1999999999999993</v>
      </c>
      <c r="C163" s="53" t="s">
        <v>58</v>
      </c>
      <c r="D163" s="54">
        <v>9340</v>
      </c>
      <c r="E163" s="52" t="s">
        <v>12</v>
      </c>
      <c r="F163" s="194">
        <v>183.23</v>
      </c>
      <c r="G163" s="194">
        <v>1711368.2</v>
      </c>
      <c r="H163" s="51"/>
    </row>
    <row r="164" spans="2:8" x14ac:dyDescent="0.2">
      <c r="B164" s="52"/>
      <c r="C164" s="53"/>
      <c r="D164" s="54"/>
      <c r="E164" s="52"/>
      <c r="F164" s="194"/>
      <c r="G164" s="194"/>
      <c r="H164" s="51">
        <v>2586291.4500000002</v>
      </c>
    </row>
    <row r="165" spans="2:8" s="195" customFormat="1" x14ac:dyDescent="0.2">
      <c r="B165" s="83">
        <v>9</v>
      </c>
      <c r="C165" s="84" t="s">
        <v>20</v>
      </c>
      <c r="D165" s="85"/>
      <c r="E165" s="83"/>
      <c r="F165" s="198"/>
      <c r="G165" s="194"/>
      <c r="H165" s="51"/>
    </row>
    <row r="166" spans="2:8" ht="22.5" x14ac:dyDescent="0.2">
      <c r="B166" s="52">
        <v>9.1</v>
      </c>
      <c r="C166" s="53" t="s">
        <v>65</v>
      </c>
      <c r="D166" s="54">
        <v>66</v>
      </c>
      <c r="E166" s="52" t="s">
        <v>368</v>
      </c>
      <c r="F166" s="194">
        <v>2134.3200000000002</v>
      </c>
      <c r="G166" s="194">
        <v>140865.12</v>
      </c>
      <c r="H166" s="51"/>
    </row>
    <row r="167" spans="2:8" ht="22.5" x14ac:dyDescent="0.2">
      <c r="B167" s="52">
        <v>9.1999999999999993</v>
      </c>
      <c r="C167" s="53" t="s">
        <v>66</v>
      </c>
      <c r="D167" s="54">
        <v>85.8</v>
      </c>
      <c r="E167" s="52" t="s">
        <v>368</v>
      </c>
      <c r="F167" s="194">
        <v>360.43</v>
      </c>
      <c r="G167" s="194">
        <v>30924.89</v>
      </c>
      <c r="H167" s="51"/>
    </row>
    <row r="168" spans="2:8" x14ac:dyDescent="0.2">
      <c r="B168" s="52"/>
      <c r="C168" s="53"/>
      <c r="D168" s="54"/>
      <c r="E168" s="52"/>
      <c r="F168" s="194"/>
      <c r="G168" s="194"/>
      <c r="H168" s="51">
        <v>171790.01</v>
      </c>
    </row>
    <row r="169" spans="2:8" s="195" customFormat="1" x14ac:dyDescent="0.2">
      <c r="B169" s="83">
        <v>10</v>
      </c>
      <c r="C169" s="84" t="s">
        <v>29</v>
      </c>
      <c r="D169" s="85"/>
      <c r="E169" s="83"/>
      <c r="F169" s="198"/>
      <c r="G169" s="194"/>
      <c r="H169" s="51"/>
    </row>
    <row r="170" spans="2:8" ht="22.5" x14ac:dyDescent="0.2">
      <c r="B170" s="52">
        <v>10.1</v>
      </c>
      <c r="C170" s="53" t="s">
        <v>89</v>
      </c>
      <c r="D170" s="54">
        <v>600</v>
      </c>
      <c r="E170" s="52" t="s">
        <v>369</v>
      </c>
      <c r="F170" s="194">
        <v>1505.4</v>
      </c>
      <c r="G170" s="194">
        <v>903240</v>
      </c>
      <c r="H170" s="51"/>
    </row>
    <row r="171" spans="2:8" x14ac:dyDescent="0.2">
      <c r="B171" s="52">
        <v>10.199999999999999</v>
      </c>
      <c r="C171" s="53" t="s">
        <v>67</v>
      </c>
      <c r="D171" s="54">
        <v>60</v>
      </c>
      <c r="E171" s="52" t="s">
        <v>12</v>
      </c>
      <c r="F171" s="194">
        <v>1651.43</v>
      </c>
      <c r="G171" s="194">
        <v>99085.8</v>
      </c>
      <c r="H171" s="51"/>
    </row>
    <row r="172" spans="2:8" x14ac:dyDescent="0.2">
      <c r="B172" s="52"/>
      <c r="C172" s="53"/>
      <c r="D172" s="54"/>
      <c r="E172" s="52"/>
      <c r="F172" s="194"/>
      <c r="G172" s="194"/>
      <c r="H172" s="51">
        <v>1002325.8</v>
      </c>
    </row>
    <row r="173" spans="2:8" s="195" customFormat="1" x14ac:dyDescent="0.2">
      <c r="B173" s="83">
        <v>11</v>
      </c>
      <c r="C173" s="84" t="s">
        <v>22</v>
      </c>
      <c r="D173" s="85"/>
      <c r="E173" s="83"/>
      <c r="F173" s="198"/>
      <c r="G173" s="194"/>
      <c r="H173" s="51"/>
    </row>
    <row r="174" spans="2:8" x14ac:dyDescent="0.2">
      <c r="B174" s="52">
        <v>11.1</v>
      </c>
      <c r="C174" s="53" t="s">
        <v>68</v>
      </c>
      <c r="D174" s="54">
        <v>33960</v>
      </c>
      <c r="E174" s="52" t="s">
        <v>12</v>
      </c>
      <c r="F174" s="194">
        <v>91.69</v>
      </c>
      <c r="G174" s="194">
        <v>3113792.4</v>
      </c>
      <c r="H174" s="51"/>
    </row>
    <row r="175" spans="2:8" ht="22.5" x14ac:dyDescent="0.2">
      <c r="B175" s="52">
        <v>11.2</v>
      </c>
      <c r="C175" s="53" t="s">
        <v>83</v>
      </c>
      <c r="D175" s="54">
        <v>11359.25</v>
      </c>
      <c r="E175" s="52" t="s">
        <v>369</v>
      </c>
      <c r="F175" s="194">
        <v>60.39</v>
      </c>
      <c r="G175" s="194">
        <v>685985.11</v>
      </c>
      <c r="H175" s="51"/>
    </row>
    <row r="176" spans="2:8" ht="37.5" x14ac:dyDescent="0.2">
      <c r="B176" s="52">
        <v>11.3</v>
      </c>
      <c r="C176" s="53" t="s">
        <v>81</v>
      </c>
      <c r="D176" s="54">
        <v>763.26</v>
      </c>
      <c r="E176" s="52" t="s">
        <v>368</v>
      </c>
      <c r="F176" s="194">
        <v>360.43</v>
      </c>
      <c r="G176" s="194">
        <v>275101.8</v>
      </c>
      <c r="H176" s="51"/>
    </row>
    <row r="177" spans="2:10" ht="22.5" x14ac:dyDescent="0.2">
      <c r="B177" s="52">
        <v>11.4</v>
      </c>
      <c r="C177" s="53" t="s">
        <v>90</v>
      </c>
      <c r="D177" s="54">
        <v>11359.25</v>
      </c>
      <c r="E177" s="52" t="s">
        <v>369</v>
      </c>
      <c r="F177" s="194">
        <v>390.11</v>
      </c>
      <c r="G177" s="194">
        <v>4431357.0199999996</v>
      </c>
      <c r="H177" s="51"/>
    </row>
    <row r="178" spans="2:10" ht="37.5" x14ac:dyDescent="0.2">
      <c r="B178" s="52">
        <v>11.5</v>
      </c>
      <c r="C178" s="53" t="s">
        <v>370</v>
      </c>
      <c r="D178" s="54">
        <v>14199.06</v>
      </c>
      <c r="E178" s="52" t="s">
        <v>369</v>
      </c>
      <c r="F178" s="194">
        <v>993.47</v>
      </c>
      <c r="G178" s="194">
        <v>14106340.140000001</v>
      </c>
      <c r="H178" s="51"/>
    </row>
    <row r="179" spans="2:10" ht="22.5" x14ac:dyDescent="0.2">
      <c r="B179" s="52">
        <v>11.6</v>
      </c>
      <c r="C179" s="53" t="s">
        <v>69</v>
      </c>
      <c r="D179" s="54">
        <v>32678.284646399999</v>
      </c>
      <c r="E179" s="52" t="s">
        <v>371</v>
      </c>
      <c r="F179" s="194">
        <v>24</v>
      </c>
      <c r="G179" s="194">
        <v>784278.83</v>
      </c>
      <c r="H179" s="51"/>
    </row>
    <row r="180" spans="2:10" x14ac:dyDescent="0.2">
      <c r="B180" s="52"/>
      <c r="C180" s="53"/>
      <c r="D180" s="54"/>
      <c r="E180" s="52"/>
      <c r="F180" s="194"/>
      <c r="G180" s="194"/>
      <c r="H180" s="51">
        <v>23396855.300000001</v>
      </c>
    </row>
    <row r="181" spans="2:10" ht="37.5" x14ac:dyDescent="0.2">
      <c r="B181" s="83">
        <v>12</v>
      </c>
      <c r="C181" s="84" t="s">
        <v>84</v>
      </c>
      <c r="D181" s="54"/>
      <c r="E181" s="52"/>
      <c r="F181" s="194"/>
      <c r="G181" s="194"/>
      <c r="H181" s="51"/>
    </row>
    <row r="182" spans="2:10" ht="56.25" x14ac:dyDescent="0.2">
      <c r="B182" s="52">
        <v>12.1</v>
      </c>
      <c r="C182" s="53" t="s">
        <v>91</v>
      </c>
      <c r="D182" s="54">
        <v>14085</v>
      </c>
      <c r="E182" s="52" t="s">
        <v>12</v>
      </c>
      <c r="F182" s="194">
        <v>70.510000000000005</v>
      </c>
      <c r="G182" s="194">
        <v>993133.35</v>
      </c>
      <c r="H182" s="51"/>
    </row>
    <row r="183" spans="2:10" ht="37.5" x14ac:dyDescent="0.2">
      <c r="B183" s="52">
        <v>12.2</v>
      </c>
      <c r="C183" s="53" t="s">
        <v>70</v>
      </c>
      <c r="D183" s="54">
        <v>14085</v>
      </c>
      <c r="E183" s="52" t="s">
        <v>12</v>
      </c>
      <c r="F183" s="194">
        <v>18.309999999999999</v>
      </c>
      <c r="G183" s="194">
        <v>257896.35</v>
      </c>
      <c r="H183" s="51"/>
    </row>
    <row r="184" spans="2:10" x14ac:dyDescent="0.2">
      <c r="B184" s="52"/>
      <c r="C184" s="53"/>
      <c r="D184" s="54"/>
      <c r="E184" s="52"/>
      <c r="F184" s="194"/>
      <c r="G184" s="194"/>
      <c r="H184" s="51">
        <v>1251029.7</v>
      </c>
    </row>
    <row r="185" spans="2:10" x14ac:dyDescent="0.2">
      <c r="B185" s="83">
        <v>14</v>
      </c>
      <c r="C185" s="84" t="s">
        <v>16</v>
      </c>
      <c r="D185" s="54">
        <v>14085</v>
      </c>
      <c r="E185" s="52" t="s">
        <v>12</v>
      </c>
      <c r="F185" s="194">
        <v>29.15</v>
      </c>
      <c r="G185" s="194">
        <v>410577.75</v>
      </c>
      <c r="H185" s="51"/>
    </row>
    <row r="186" spans="2:10" x14ac:dyDescent="0.2">
      <c r="B186" s="83"/>
      <c r="C186" s="84"/>
      <c r="D186" s="54"/>
      <c r="E186" s="52"/>
      <c r="F186" s="194"/>
      <c r="G186" s="194"/>
      <c r="H186" s="51">
        <v>410577.75</v>
      </c>
    </row>
    <row r="187" spans="2:10" ht="19.5" thickBot="1" x14ac:dyDescent="0.25">
      <c r="B187" s="83"/>
      <c r="C187" s="84"/>
      <c r="D187" s="54"/>
      <c r="E187" s="52"/>
      <c r="F187" s="194"/>
      <c r="G187" s="194"/>
      <c r="H187" s="51"/>
    </row>
    <row r="188" spans="2:10" ht="19.5" thickBot="1" x14ac:dyDescent="0.25">
      <c r="B188" s="57"/>
      <c r="C188" s="58" t="s">
        <v>381</v>
      </c>
      <c r="D188" s="60"/>
      <c r="E188" s="61"/>
      <c r="F188" s="60"/>
      <c r="G188" s="62"/>
      <c r="H188" s="59">
        <v>57580196.789999999</v>
      </c>
    </row>
    <row r="189" spans="2:10" x14ac:dyDescent="0.2">
      <c r="B189" s="52"/>
      <c r="C189" s="53"/>
      <c r="D189" s="54"/>
      <c r="E189" s="52"/>
      <c r="F189" s="194"/>
      <c r="G189" s="194"/>
      <c r="H189" s="51"/>
    </row>
    <row r="190" spans="2:10" x14ac:dyDescent="0.2">
      <c r="B190" s="83" t="s">
        <v>18</v>
      </c>
      <c r="C190" s="84" t="s">
        <v>9</v>
      </c>
      <c r="D190" s="54"/>
      <c r="E190" s="52"/>
      <c r="F190" s="194"/>
      <c r="G190" s="194"/>
      <c r="H190" s="51"/>
    </row>
    <row r="191" spans="2:10" ht="77.650000000000006" customHeight="1" x14ac:dyDescent="0.2">
      <c r="B191" s="52">
        <v>1</v>
      </c>
      <c r="C191" s="53" t="s">
        <v>92</v>
      </c>
      <c r="D191" s="54">
        <v>4</v>
      </c>
      <c r="E191" s="52" t="s">
        <v>32</v>
      </c>
      <c r="F191" s="194">
        <v>78765.039999999994</v>
      </c>
      <c r="G191" s="194">
        <v>315060.07</v>
      </c>
      <c r="H191" s="51"/>
    </row>
    <row r="192" spans="2:10" x14ac:dyDescent="0.2">
      <c r="B192" s="83"/>
      <c r="C192" s="84"/>
      <c r="D192" s="54"/>
      <c r="E192" s="52"/>
      <c r="F192" s="194"/>
      <c r="G192" s="194"/>
      <c r="H192" s="51"/>
      <c r="J192" s="353"/>
    </row>
    <row r="193" spans="2:11" x14ac:dyDescent="0.2">
      <c r="B193" s="52">
        <v>2</v>
      </c>
      <c r="C193" s="53" t="s">
        <v>93</v>
      </c>
      <c r="D193" s="54">
        <v>10</v>
      </c>
      <c r="E193" s="52" t="s">
        <v>85</v>
      </c>
      <c r="F193" s="194">
        <v>25572.92</v>
      </c>
      <c r="G193" s="194">
        <v>255729.11</v>
      </c>
      <c r="H193" s="51"/>
    </row>
    <row r="194" spans="2:11" x14ac:dyDescent="0.2">
      <c r="B194" s="52"/>
      <c r="C194" s="53"/>
      <c r="D194" s="54"/>
      <c r="E194" s="52"/>
      <c r="F194" s="194"/>
      <c r="G194" s="194"/>
      <c r="H194" s="51">
        <v>570789.18000000005</v>
      </c>
    </row>
    <row r="195" spans="2:11" ht="19.5" thickBot="1" x14ac:dyDescent="0.25">
      <c r="B195" s="52"/>
      <c r="C195" s="53"/>
      <c r="D195" s="54"/>
      <c r="E195" s="52"/>
      <c r="F195" s="194"/>
      <c r="G195" s="194"/>
      <c r="H195" s="51"/>
    </row>
    <row r="196" spans="2:11" ht="19.5" thickBot="1" x14ac:dyDescent="0.25">
      <c r="B196" s="57"/>
      <c r="C196" s="58" t="s">
        <v>380</v>
      </c>
      <c r="D196" s="60"/>
      <c r="E196" s="61"/>
      <c r="F196" s="60"/>
      <c r="G196" s="62"/>
      <c r="H196" s="59">
        <v>570789.18000000005</v>
      </c>
    </row>
    <row r="197" spans="2:11" x14ac:dyDescent="0.2">
      <c r="B197" s="55"/>
      <c r="C197" s="56"/>
      <c r="D197" s="201"/>
      <c r="E197" s="202"/>
      <c r="F197" s="192"/>
      <c r="G197" s="194"/>
      <c r="H197" s="51"/>
    </row>
    <row r="198" spans="2:11" ht="19.5" thickBot="1" x14ac:dyDescent="0.25">
      <c r="B198" s="55"/>
      <c r="C198" s="50"/>
      <c r="D198" s="192"/>
      <c r="E198" s="193"/>
      <c r="F198" s="194"/>
      <c r="G198" s="194"/>
      <c r="H198" s="51"/>
    </row>
    <row r="199" spans="2:11" ht="19.5" thickBot="1" x14ac:dyDescent="0.25">
      <c r="B199" s="57"/>
      <c r="C199" s="58" t="s">
        <v>372</v>
      </c>
      <c r="D199" s="60"/>
      <c r="E199" s="61"/>
      <c r="F199" s="60"/>
      <c r="G199" s="62"/>
      <c r="H199" s="59">
        <v>58150985.969999999</v>
      </c>
    </row>
    <row r="200" spans="2:11" x14ac:dyDescent="0.2">
      <c r="B200" s="68"/>
      <c r="C200" s="63"/>
      <c r="D200" s="64"/>
      <c r="E200" s="65"/>
      <c r="F200" s="64"/>
      <c r="G200" s="64"/>
      <c r="H200" s="64"/>
      <c r="I200" s="203"/>
    </row>
    <row r="201" spans="2:11" x14ac:dyDescent="0.2">
      <c r="B201" s="73"/>
      <c r="C201" s="66" t="s">
        <v>373</v>
      </c>
      <c r="D201" s="67"/>
      <c r="E201" s="68"/>
      <c r="G201" s="69"/>
      <c r="H201" s="69"/>
    </row>
    <row r="202" spans="2:11" x14ac:dyDescent="0.2">
      <c r="B202" s="73"/>
      <c r="C202" s="186" t="s">
        <v>71</v>
      </c>
      <c r="D202" s="204">
        <v>0.03</v>
      </c>
      <c r="E202" s="71"/>
      <c r="G202" s="188">
        <v>1744529.58</v>
      </c>
      <c r="H202" s="351"/>
      <c r="I202" s="349"/>
      <c r="K202" s="349"/>
    </row>
    <row r="203" spans="2:11" x14ac:dyDescent="0.2">
      <c r="B203" s="73"/>
      <c r="C203" s="186" t="s">
        <v>72</v>
      </c>
      <c r="D203" s="204">
        <v>0.1</v>
      </c>
      <c r="E203" s="71"/>
      <c r="G203" s="188">
        <v>5815098.6200000001</v>
      </c>
      <c r="H203" s="351"/>
      <c r="I203" s="349"/>
    </row>
    <row r="204" spans="2:11" x14ac:dyDescent="0.2">
      <c r="B204" s="73"/>
      <c r="C204" s="186" t="s">
        <v>73</v>
      </c>
      <c r="D204" s="204">
        <v>0.04</v>
      </c>
      <c r="E204" s="71"/>
      <c r="G204" s="188">
        <v>2326039.4500000002</v>
      </c>
      <c r="H204" s="351"/>
      <c r="I204" s="349"/>
    </row>
    <row r="205" spans="2:11" x14ac:dyDescent="0.2">
      <c r="B205" s="73"/>
      <c r="C205" s="186" t="s">
        <v>74</v>
      </c>
      <c r="D205" s="204">
        <v>0.05</v>
      </c>
      <c r="E205" s="71"/>
      <c r="G205" s="188">
        <v>2907549.31</v>
      </c>
      <c r="H205" s="351"/>
      <c r="I205" s="349"/>
    </row>
    <row r="206" spans="2:11" x14ac:dyDescent="0.2">
      <c r="B206" s="73"/>
      <c r="C206" s="186" t="s">
        <v>75</v>
      </c>
      <c r="D206" s="204">
        <v>4.4999999999999998E-2</v>
      </c>
      <c r="E206" s="71"/>
      <c r="G206" s="188">
        <v>2616794.38</v>
      </c>
      <c r="H206" s="351"/>
      <c r="I206" s="349"/>
    </row>
    <row r="207" spans="2:11" x14ac:dyDescent="0.2">
      <c r="B207" s="73"/>
      <c r="C207" s="186" t="s">
        <v>76</v>
      </c>
      <c r="D207" s="204">
        <v>0.01</v>
      </c>
      <c r="E207" s="71"/>
      <c r="G207" s="188">
        <v>581509.86</v>
      </c>
      <c r="H207" s="351"/>
      <c r="I207" s="349"/>
    </row>
    <row r="208" spans="2:11" x14ac:dyDescent="0.2">
      <c r="B208" s="73"/>
      <c r="C208" s="186" t="s">
        <v>77</v>
      </c>
      <c r="D208" s="204">
        <v>0.18</v>
      </c>
      <c r="E208" s="71"/>
      <c r="F208" s="72"/>
      <c r="G208" s="188">
        <v>1046717.75</v>
      </c>
      <c r="H208" s="351"/>
      <c r="I208" s="349"/>
    </row>
    <row r="209" spans="2:12" x14ac:dyDescent="0.2">
      <c r="B209" s="73"/>
      <c r="C209" s="186" t="s">
        <v>14</v>
      </c>
      <c r="D209" s="204">
        <v>1E-3</v>
      </c>
      <c r="E209" s="71"/>
      <c r="F209" s="72"/>
      <c r="G209" s="188">
        <v>58150.99</v>
      </c>
      <c r="H209" s="351"/>
      <c r="I209" s="349"/>
    </row>
    <row r="210" spans="2:12" x14ac:dyDescent="0.2">
      <c r="B210" s="73"/>
      <c r="C210" s="186" t="s">
        <v>80</v>
      </c>
      <c r="D210" s="204">
        <v>0.05</v>
      </c>
      <c r="E210" s="71"/>
      <c r="F210" s="72"/>
      <c r="G210" s="188">
        <v>2907549.31</v>
      </c>
      <c r="H210" s="351"/>
      <c r="I210" s="349"/>
    </row>
    <row r="211" spans="2:12" ht="37.5" x14ac:dyDescent="0.2">
      <c r="B211" s="73"/>
      <c r="C211" s="187" t="s">
        <v>79</v>
      </c>
      <c r="D211" s="204">
        <v>0.03</v>
      </c>
      <c r="E211" s="71"/>
      <c r="F211" s="72"/>
      <c r="G211" s="188">
        <v>1744529.58</v>
      </c>
      <c r="H211" s="352"/>
      <c r="I211" s="349"/>
    </row>
    <row r="212" spans="2:12" x14ac:dyDescent="0.2">
      <c r="B212" s="73"/>
      <c r="C212" s="186" t="s">
        <v>78</v>
      </c>
      <c r="D212" s="204">
        <v>0.1</v>
      </c>
      <c r="E212" s="68"/>
      <c r="G212" s="188">
        <v>5815098.6200000001</v>
      </c>
      <c r="H212" s="351"/>
      <c r="I212" s="349"/>
    </row>
    <row r="213" spans="2:12" x14ac:dyDescent="0.2">
      <c r="B213" s="73"/>
      <c r="C213" s="66"/>
      <c r="D213" s="67"/>
      <c r="E213" s="68"/>
      <c r="G213" s="350"/>
      <c r="H213" s="348">
        <v>27563567.449999999</v>
      </c>
      <c r="L213" s="348"/>
    </row>
    <row r="214" spans="2:12" ht="19.5" thickBot="1" x14ac:dyDescent="0.25">
      <c r="B214" s="68"/>
      <c r="C214" s="66"/>
      <c r="D214" s="72"/>
      <c r="E214" s="73"/>
      <c r="F214" s="72"/>
      <c r="G214" s="72"/>
      <c r="H214" s="72"/>
      <c r="L214" s="348"/>
    </row>
    <row r="215" spans="2:12" ht="19.5" thickBot="1" x14ac:dyDescent="0.25">
      <c r="B215" s="74"/>
      <c r="C215" s="362" t="s">
        <v>374</v>
      </c>
      <c r="D215" s="362"/>
      <c r="E215" s="362"/>
      <c r="F215" s="75"/>
      <c r="G215" s="75"/>
      <c r="H215" s="76">
        <v>85714553.420000002</v>
      </c>
      <c r="L215" s="348"/>
    </row>
    <row r="216" spans="2:12" ht="18.75" customHeight="1" x14ac:dyDescent="0.2">
      <c r="B216" s="206"/>
      <c r="C216" s="207"/>
      <c r="D216" s="77"/>
      <c r="E216" s="68"/>
      <c r="F216" s="70"/>
      <c r="G216" s="78"/>
      <c r="H216" s="79"/>
    </row>
    <row r="219" spans="2:12" ht="18" customHeight="1" x14ac:dyDescent="0.2">
      <c r="B219" s="361" t="s">
        <v>375</v>
      </c>
      <c r="C219" s="361"/>
      <c r="D219" s="189"/>
      <c r="E219" s="361"/>
      <c r="F219" s="361"/>
      <c r="G219" s="361"/>
      <c r="H219" s="190"/>
    </row>
    <row r="220" spans="2:12" x14ac:dyDescent="0.2">
      <c r="B220" s="361"/>
      <c r="C220" s="361"/>
      <c r="D220" s="189"/>
      <c r="E220" s="190"/>
      <c r="F220" s="190"/>
      <c r="G220" s="190"/>
      <c r="H220" s="190"/>
    </row>
    <row r="221" spans="2:12" ht="19.5" thickBot="1" x14ac:dyDescent="0.25">
      <c r="B221" s="190"/>
      <c r="C221" s="190"/>
      <c r="D221" s="189"/>
      <c r="E221" s="190"/>
      <c r="F221" s="190"/>
      <c r="G221" s="190"/>
      <c r="H221" s="190"/>
    </row>
    <row r="222" spans="2:12" ht="38.25" thickBot="1" x14ac:dyDescent="0.25">
      <c r="B222" s="44" t="s">
        <v>360</v>
      </c>
      <c r="C222" s="45" t="s">
        <v>361</v>
      </c>
      <c r="D222" s="46" t="s">
        <v>362</v>
      </c>
      <c r="E222" s="45" t="s">
        <v>363</v>
      </c>
      <c r="F222" s="47" t="s">
        <v>364</v>
      </c>
      <c r="G222" s="48" t="s">
        <v>365</v>
      </c>
      <c r="H222" s="49" t="s">
        <v>366</v>
      </c>
    </row>
    <row r="223" spans="2:12" x14ac:dyDescent="0.2">
      <c r="B223" s="191"/>
      <c r="C223" s="50"/>
      <c r="D223" s="192"/>
      <c r="E223" s="193"/>
      <c r="F223" s="194"/>
      <c r="G223" s="194"/>
      <c r="H223" s="51"/>
    </row>
    <row r="224" spans="2:12" s="195" customFormat="1" x14ac:dyDescent="0.2">
      <c r="B224" s="196" t="s">
        <v>10</v>
      </c>
      <c r="C224" s="86" t="s">
        <v>367</v>
      </c>
      <c r="D224" s="197"/>
      <c r="E224" s="83"/>
      <c r="F224" s="198"/>
      <c r="G224" s="198"/>
      <c r="H224" s="51"/>
    </row>
    <row r="225" spans="2:8" x14ac:dyDescent="0.2">
      <c r="B225" s="199"/>
      <c r="C225" s="50"/>
      <c r="D225" s="200"/>
      <c r="E225" s="52"/>
      <c r="F225" s="194"/>
      <c r="G225" s="194"/>
      <c r="H225" s="51"/>
    </row>
    <row r="226" spans="2:8" s="195" customFormat="1" x14ac:dyDescent="0.2">
      <c r="B226" s="83">
        <v>1</v>
      </c>
      <c r="C226" s="84" t="s">
        <v>86</v>
      </c>
      <c r="D226" s="85"/>
      <c r="E226" s="83"/>
      <c r="F226" s="198"/>
      <c r="G226" s="198"/>
      <c r="H226" s="51"/>
    </row>
    <row r="227" spans="2:8" x14ac:dyDescent="0.2">
      <c r="B227" s="52">
        <v>1.1000000000000001</v>
      </c>
      <c r="C227" s="53" t="s">
        <v>51</v>
      </c>
      <c r="D227" s="54">
        <v>14085</v>
      </c>
      <c r="E227" s="52" t="s">
        <v>12</v>
      </c>
      <c r="F227" s="194">
        <v>4.16</v>
      </c>
      <c r="G227" s="194">
        <v>58593.599999999999</v>
      </c>
      <c r="H227" s="51"/>
    </row>
    <row r="228" spans="2:8" x14ac:dyDescent="0.2">
      <c r="B228" s="52"/>
      <c r="C228" s="53"/>
      <c r="D228" s="54"/>
      <c r="E228" s="52"/>
      <c r="F228" s="194"/>
      <c r="G228" s="194"/>
      <c r="H228" s="51">
        <v>58593.599999999999</v>
      </c>
    </row>
    <row r="229" spans="2:8" s="195" customFormat="1" x14ac:dyDescent="0.2">
      <c r="B229" s="83">
        <v>2</v>
      </c>
      <c r="C229" s="84" t="s">
        <v>15</v>
      </c>
      <c r="D229" s="85"/>
      <c r="E229" s="83"/>
      <c r="F229" s="194"/>
      <c r="G229" s="194"/>
      <c r="H229" s="51"/>
    </row>
    <row r="230" spans="2:8" ht="22.5" x14ac:dyDescent="0.2">
      <c r="B230" s="52">
        <v>2.1</v>
      </c>
      <c r="C230" s="53" t="s">
        <v>52</v>
      </c>
      <c r="D230" s="54">
        <v>10093.93</v>
      </c>
      <c r="E230" s="52" t="s">
        <v>368</v>
      </c>
      <c r="F230" s="194">
        <v>143.28</v>
      </c>
      <c r="G230" s="194">
        <v>1446258.29</v>
      </c>
      <c r="H230" s="51"/>
    </row>
    <row r="231" spans="2:8" ht="22.5" x14ac:dyDescent="0.2">
      <c r="B231" s="52">
        <v>2.2000000000000002</v>
      </c>
      <c r="C231" s="53" t="s">
        <v>53</v>
      </c>
      <c r="D231" s="54">
        <v>9392.5</v>
      </c>
      <c r="E231" s="52" t="s">
        <v>369</v>
      </c>
      <c r="F231" s="194">
        <v>13.96</v>
      </c>
      <c r="G231" s="194">
        <v>131119.29999999999</v>
      </c>
      <c r="H231" s="51"/>
    </row>
    <row r="232" spans="2:8" ht="22.5" x14ac:dyDescent="0.2">
      <c r="B232" s="52">
        <v>2.2999999999999998</v>
      </c>
      <c r="C232" s="53" t="s">
        <v>54</v>
      </c>
      <c r="D232" s="54">
        <v>985.95</v>
      </c>
      <c r="E232" s="52" t="s">
        <v>368</v>
      </c>
      <c r="F232" s="194">
        <v>530.6</v>
      </c>
      <c r="G232" s="194">
        <v>523145.07</v>
      </c>
      <c r="H232" s="51"/>
    </row>
    <row r="233" spans="2:8" ht="37.5" x14ac:dyDescent="0.2">
      <c r="B233" s="52">
        <v>2.4</v>
      </c>
      <c r="C233" s="53" t="s">
        <v>87</v>
      </c>
      <c r="D233" s="54">
        <v>8575.59</v>
      </c>
      <c r="E233" s="52" t="s">
        <v>368</v>
      </c>
      <c r="F233" s="194">
        <v>62</v>
      </c>
      <c r="G233" s="194">
        <v>531686.57999999996</v>
      </c>
      <c r="H233" s="51"/>
    </row>
    <row r="234" spans="2:8" ht="37.5" x14ac:dyDescent="0.2">
      <c r="B234" s="52">
        <v>2.5</v>
      </c>
      <c r="C234" s="53" t="s">
        <v>61</v>
      </c>
      <c r="D234" s="54">
        <v>1822.01</v>
      </c>
      <c r="E234" s="52" t="s">
        <v>368</v>
      </c>
      <c r="F234" s="194">
        <v>38.67</v>
      </c>
      <c r="G234" s="194">
        <v>70457.13</v>
      </c>
      <c r="H234" s="51"/>
    </row>
    <row r="235" spans="2:8" x14ac:dyDescent="0.2">
      <c r="B235" s="52"/>
      <c r="C235" s="53"/>
      <c r="D235" s="54"/>
      <c r="E235" s="52"/>
      <c r="F235" s="194"/>
      <c r="G235" s="194"/>
      <c r="H235" s="51">
        <v>2702666.37</v>
      </c>
    </row>
    <row r="236" spans="2:8" s="195" customFormat="1" x14ac:dyDescent="0.2">
      <c r="B236" s="83">
        <v>3</v>
      </c>
      <c r="C236" s="84" t="s">
        <v>25</v>
      </c>
      <c r="D236" s="85"/>
      <c r="E236" s="83"/>
      <c r="F236" s="194"/>
      <c r="G236" s="194"/>
      <c r="H236" s="51"/>
    </row>
    <row r="237" spans="2:8" x14ac:dyDescent="0.2">
      <c r="B237" s="52">
        <v>3.1</v>
      </c>
      <c r="C237" s="53" t="s">
        <v>55</v>
      </c>
      <c r="D237" s="54">
        <v>4839.8999999999996</v>
      </c>
      <c r="E237" s="52" t="s">
        <v>12</v>
      </c>
      <c r="F237" s="194">
        <v>120.36</v>
      </c>
      <c r="G237" s="194">
        <v>582530.36</v>
      </c>
      <c r="H237" s="51"/>
    </row>
    <row r="238" spans="2:8" x14ac:dyDescent="0.2">
      <c r="B238" s="52">
        <v>3.2</v>
      </c>
      <c r="C238" s="53" t="s">
        <v>56</v>
      </c>
      <c r="D238" s="54">
        <v>9526.7999999999993</v>
      </c>
      <c r="E238" s="52" t="s">
        <v>12</v>
      </c>
      <c r="F238" s="194">
        <v>96.29</v>
      </c>
      <c r="G238" s="194">
        <v>917335.57</v>
      </c>
      <c r="H238" s="51"/>
    </row>
    <row r="239" spans="2:8" x14ac:dyDescent="0.2">
      <c r="B239" s="52"/>
      <c r="C239" s="53"/>
      <c r="D239" s="54"/>
      <c r="E239" s="52"/>
      <c r="F239" s="194"/>
      <c r="G239" s="194"/>
      <c r="H239" s="51">
        <v>1499865.93</v>
      </c>
    </row>
    <row r="240" spans="2:8" s="195" customFormat="1" x14ac:dyDescent="0.2">
      <c r="B240" s="83">
        <v>4</v>
      </c>
      <c r="C240" s="84" t="s">
        <v>26</v>
      </c>
      <c r="D240" s="85"/>
      <c r="E240" s="83"/>
      <c r="F240" s="194"/>
      <c r="G240" s="194"/>
      <c r="H240" s="51"/>
    </row>
    <row r="241" spans="2:8" x14ac:dyDescent="0.2">
      <c r="B241" s="52">
        <v>4.0999999999999996</v>
      </c>
      <c r="C241" s="53" t="s">
        <v>57</v>
      </c>
      <c r="D241" s="54">
        <v>4839.8999999999996</v>
      </c>
      <c r="E241" s="52" t="s">
        <v>12</v>
      </c>
      <c r="F241" s="194">
        <v>106.02</v>
      </c>
      <c r="G241" s="194">
        <v>513126.2</v>
      </c>
      <c r="H241" s="51"/>
    </row>
    <row r="242" spans="2:8" x14ac:dyDescent="0.2">
      <c r="B242" s="52">
        <v>4.2</v>
      </c>
      <c r="C242" s="53" t="s">
        <v>58</v>
      </c>
      <c r="D242" s="54">
        <v>9526.7999999999993</v>
      </c>
      <c r="E242" s="52" t="s">
        <v>12</v>
      </c>
      <c r="F242" s="194">
        <v>88.57</v>
      </c>
      <c r="G242" s="194">
        <v>843788.68</v>
      </c>
      <c r="H242" s="51"/>
    </row>
    <row r="243" spans="2:8" x14ac:dyDescent="0.2">
      <c r="B243" s="52"/>
      <c r="C243" s="53"/>
      <c r="D243" s="54"/>
      <c r="E243" s="52"/>
      <c r="F243" s="194"/>
      <c r="G243" s="194"/>
      <c r="H243" s="51">
        <v>1356914.88</v>
      </c>
    </row>
    <row r="244" spans="2:8" s="195" customFormat="1" ht="37.5" x14ac:dyDescent="0.2">
      <c r="B244" s="83">
        <v>5</v>
      </c>
      <c r="C244" s="84" t="s">
        <v>31</v>
      </c>
      <c r="D244" s="85"/>
      <c r="E244" s="83"/>
      <c r="F244" s="194"/>
      <c r="G244" s="194"/>
      <c r="H244" s="51"/>
    </row>
    <row r="245" spans="2:8" x14ac:dyDescent="0.2">
      <c r="B245" s="52">
        <v>5.0999999999999996</v>
      </c>
      <c r="C245" s="53" t="s">
        <v>33</v>
      </c>
      <c r="D245" s="54">
        <v>1</v>
      </c>
      <c r="E245" s="52" t="s">
        <v>32</v>
      </c>
      <c r="F245" s="194">
        <v>157.22</v>
      </c>
      <c r="G245" s="194">
        <v>157.22</v>
      </c>
      <c r="H245" s="51"/>
    </row>
    <row r="246" spans="2:8" x14ac:dyDescent="0.2">
      <c r="B246" s="52">
        <v>5.2</v>
      </c>
      <c r="C246" s="53" t="s">
        <v>34</v>
      </c>
      <c r="D246" s="54">
        <v>13</v>
      </c>
      <c r="E246" s="52" t="s">
        <v>32</v>
      </c>
      <c r="F246" s="194">
        <v>153.18</v>
      </c>
      <c r="G246" s="194">
        <v>1991.34</v>
      </c>
      <c r="H246" s="51"/>
    </row>
    <row r="247" spans="2:8" x14ac:dyDescent="0.2">
      <c r="B247" s="52">
        <v>5.3</v>
      </c>
      <c r="C247" s="53" t="s">
        <v>35</v>
      </c>
      <c r="D247" s="54">
        <v>4</v>
      </c>
      <c r="E247" s="52" t="s">
        <v>32</v>
      </c>
      <c r="F247" s="194">
        <v>96.54</v>
      </c>
      <c r="G247" s="194">
        <v>386.16</v>
      </c>
      <c r="H247" s="51"/>
    </row>
    <row r="248" spans="2:8" x14ac:dyDescent="0.2">
      <c r="B248" s="52">
        <v>5.4</v>
      </c>
      <c r="C248" s="53" t="s">
        <v>36</v>
      </c>
      <c r="D248" s="54">
        <v>36</v>
      </c>
      <c r="E248" s="52" t="s">
        <v>32</v>
      </c>
      <c r="F248" s="194">
        <v>93</v>
      </c>
      <c r="G248" s="194">
        <v>3348</v>
      </c>
      <c r="H248" s="51"/>
    </row>
    <row r="249" spans="2:8" x14ac:dyDescent="0.2">
      <c r="B249" s="52">
        <v>5.5</v>
      </c>
      <c r="C249" s="53" t="s">
        <v>37</v>
      </c>
      <c r="D249" s="54">
        <v>38</v>
      </c>
      <c r="E249" s="52" t="s">
        <v>32</v>
      </c>
      <c r="F249" s="194">
        <v>185.12</v>
      </c>
      <c r="G249" s="194">
        <v>7034.56</v>
      </c>
      <c r="H249" s="51"/>
    </row>
    <row r="250" spans="2:8" x14ac:dyDescent="0.2">
      <c r="B250" s="52">
        <v>5.6</v>
      </c>
      <c r="C250" s="53" t="s">
        <v>38</v>
      </c>
      <c r="D250" s="54">
        <v>26</v>
      </c>
      <c r="E250" s="52" t="s">
        <v>32</v>
      </c>
      <c r="F250" s="194">
        <v>165.57</v>
      </c>
      <c r="G250" s="194">
        <v>4304.82</v>
      </c>
      <c r="H250" s="51"/>
    </row>
    <row r="251" spans="2:8" x14ac:dyDescent="0.2">
      <c r="B251" s="52">
        <v>5.7</v>
      </c>
      <c r="C251" s="53" t="s">
        <v>39</v>
      </c>
      <c r="D251" s="54">
        <v>4</v>
      </c>
      <c r="E251" s="52" t="s">
        <v>32</v>
      </c>
      <c r="F251" s="194">
        <v>174.53</v>
      </c>
      <c r="G251" s="194">
        <v>698.12</v>
      </c>
      <c r="H251" s="51"/>
    </row>
    <row r="252" spans="2:8" x14ac:dyDescent="0.2">
      <c r="B252" s="52">
        <v>5.8</v>
      </c>
      <c r="C252" s="53" t="s">
        <v>40</v>
      </c>
      <c r="D252" s="54">
        <v>3</v>
      </c>
      <c r="E252" s="52" t="s">
        <v>32</v>
      </c>
      <c r="F252" s="194">
        <v>89.46</v>
      </c>
      <c r="G252" s="194">
        <v>268.38</v>
      </c>
      <c r="H252" s="51"/>
    </row>
    <row r="253" spans="2:8" x14ac:dyDescent="0.2">
      <c r="B253" s="52">
        <v>5.9</v>
      </c>
      <c r="C253" s="53" t="s">
        <v>50</v>
      </c>
      <c r="D253" s="54">
        <v>1</v>
      </c>
      <c r="E253" s="52" t="s">
        <v>32</v>
      </c>
      <c r="F253" s="194">
        <v>321.31</v>
      </c>
      <c r="G253" s="194">
        <v>321.31</v>
      </c>
      <c r="H253" s="51"/>
    </row>
    <row r="254" spans="2:8" x14ac:dyDescent="0.2">
      <c r="B254" s="52">
        <v>5.0999999999999996</v>
      </c>
      <c r="C254" s="53" t="s">
        <v>41</v>
      </c>
      <c r="D254" s="54">
        <v>1</v>
      </c>
      <c r="E254" s="52" t="s">
        <v>32</v>
      </c>
      <c r="F254" s="194">
        <v>278.64</v>
      </c>
      <c r="G254" s="194">
        <v>278.64</v>
      </c>
      <c r="H254" s="51"/>
    </row>
    <row r="255" spans="2:8" x14ac:dyDescent="0.2">
      <c r="B255" s="52">
        <v>5.1100000000000003</v>
      </c>
      <c r="C255" s="53" t="s">
        <v>42</v>
      </c>
      <c r="D255" s="54">
        <v>33</v>
      </c>
      <c r="E255" s="52" t="s">
        <v>32</v>
      </c>
      <c r="F255" s="194">
        <v>235.84</v>
      </c>
      <c r="G255" s="194">
        <v>7782.72</v>
      </c>
      <c r="H255" s="51"/>
    </row>
    <row r="256" spans="2:8" x14ac:dyDescent="0.2">
      <c r="B256" s="52">
        <v>5.12</v>
      </c>
      <c r="C256" s="53" t="s">
        <v>43</v>
      </c>
      <c r="D256" s="54">
        <v>1</v>
      </c>
      <c r="E256" s="52" t="s">
        <v>32</v>
      </c>
      <c r="F256" s="194">
        <v>123.27</v>
      </c>
      <c r="G256" s="194">
        <v>123.27</v>
      </c>
      <c r="H256" s="51"/>
    </row>
    <row r="257" spans="2:8" x14ac:dyDescent="0.2">
      <c r="B257" s="52">
        <v>5.13</v>
      </c>
      <c r="C257" s="53" t="s">
        <v>44</v>
      </c>
      <c r="D257" s="54">
        <v>16</v>
      </c>
      <c r="E257" s="52" t="s">
        <v>32</v>
      </c>
      <c r="F257" s="194">
        <v>112.65</v>
      </c>
      <c r="G257" s="194">
        <v>1802.4</v>
      </c>
      <c r="H257" s="51"/>
    </row>
    <row r="258" spans="2:8" x14ac:dyDescent="0.2">
      <c r="B258" s="52">
        <v>5.14</v>
      </c>
      <c r="C258" s="53" t="s">
        <v>46</v>
      </c>
      <c r="D258" s="54">
        <v>8.85</v>
      </c>
      <c r="E258" s="52" t="s">
        <v>45</v>
      </c>
      <c r="F258" s="194">
        <v>766.41</v>
      </c>
      <c r="G258" s="194">
        <v>6782.73</v>
      </c>
      <c r="H258" s="51"/>
    </row>
    <row r="259" spans="2:8" x14ac:dyDescent="0.2">
      <c r="B259" s="52"/>
      <c r="C259" s="53"/>
      <c r="D259" s="54"/>
      <c r="E259" s="52"/>
      <c r="F259" s="194"/>
      <c r="G259" s="194"/>
      <c r="H259" s="51">
        <v>35279.67</v>
      </c>
    </row>
    <row r="260" spans="2:8" s="195" customFormat="1" x14ac:dyDescent="0.2">
      <c r="B260" s="83">
        <v>6</v>
      </c>
      <c r="C260" s="84" t="s">
        <v>27</v>
      </c>
      <c r="D260" s="85"/>
      <c r="E260" s="83"/>
      <c r="F260" s="194"/>
      <c r="G260" s="194"/>
      <c r="H260" s="51"/>
    </row>
    <row r="261" spans="2:8" ht="56.25" x14ac:dyDescent="0.2">
      <c r="B261" s="52">
        <v>6.1</v>
      </c>
      <c r="C261" s="53" t="s">
        <v>62</v>
      </c>
      <c r="D261" s="54">
        <v>3</v>
      </c>
      <c r="E261" s="52" t="s">
        <v>32</v>
      </c>
      <c r="F261" s="194">
        <v>0</v>
      </c>
      <c r="G261" s="194">
        <v>0</v>
      </c>
      <c r="H261" s="51"/>
    </row>
    <row r="262" spans="2:8" ht="56.25" x14ac:dyDescent="0.2">
      <c r="B262" s="52">
        <v>6.2</v>
      </c>
      <c r="C262" s="53" t="s">
        <v>63</v>
      </c>
      <c r="D262" s="54">
        <v>3</v>
      </c>
      <c r="E262" s="52" t="s">
        <v>32</v>
      </c>
      <c r="F262" s="194">
        <v>1050</v>
      </c>
      <c r="G262" s="194">
        <v>3150</v>
      </c>
      <c r="H262" s="51"/>
    </row>
    <row r="263" spans="2:8" x14ac:dyDescent="0.2">
      <c r="B263" s="52">
        <v>6.3</v>
      </c>
      <c r="C263" s="53" t="s">
        <v>64</v>
      </c>
      <c r="D263" s="54">
        <v>6</v>
      </c>
      <c r="E263" s="52" t="s">
        <v>32</v>
      </c>
      <c r="F263" s="194">
        <v>1050</v>
      </c>
      <c r="G263" s="194">
        <v>6300</v>
      </c>
      <c r="H263" s="51"/>
    </row>
    <row r="264" spans="2:8" x14ac:dyDescent="0.2">
      <c r="B264" s="52"/>
      <c r="C264" s="53"/>
      <c r="D264" s="54"/>
      <c r="E264" s="52"/>
      <c r="F264" s="194"/>
      <c r="G264" s="194"/>
      <c r="H264" s="51">
        <v>9450</v>
      </c>
    </row>
    <row r="265" spans="2:8" s="195" customFormat="1" x14ac:dyDescent="0.2">
      <c r="B265" s="83">
        <v>7</v>
      </c>
      <c r="C265" s="84" t="s">
        <v>59</v>
      </c>
      <c r="D265" s="85"/>
      <c r="E265" s="83"/>
      <c r="F265" s="194"/>
      <c r="G265" s="194"/>
      <c r="H265" s="51"/>
    </row>
    <row r="266" spans="2:8" ht="37.5" x14ac:dyDescent="0.2">
      <c r="B266" s="52">
        <v>7.1</v>
      </c>
      <c r="C266" s="53" t="s">
        <v>88</v>
      </c>
      <c r="D266" s="54">
        <v>700</v>
      </c>
      <c r="E266" s="52" t="s">
        <v>32</v>
      </c>
      <c r="F266" s="194">
        <v>1532.42</v>
      </c>
      <c r="G266" s="194">
        <v>1072694</v>
      </c>
      <c r="H266" s="51"/>
    </row>
    <row r="267" spans="2:8" x14ac:dyDescent="0.2">
      <c r="B267" s="52">
        <v>7.2</v>
      </c>
      <c r="C267" s="53" t="s">
        <v>60</v>
      </c>
      <c r="D267" s="54">
        <v>300</v>
      </c>
      <c r="E267" s="52" t="s">
        <v>32</v>
      </c>
      <c r="F267" s="194">
        <v>690.74</v>
      </c>
      <c r="G267" s="194">
        <v>207222</v>
      </c>
      <c r="H267" s="51"/>
    </row>
    <row r="268" spans="2:8" x14ac:dyDescent="0.2">
      <c r="B268" s="52"/>
      <c r="C268" s="53"/>
      <c r="D268" s="54"/>
      <c r="E268" s="52"/>
      <c r="F268" s="194">
        <v>0</v>
      </c>
      <c r="G268" s="194"/>
      <c r="H268" s="51">
        <v>1279916</v>
      </c>
    </row>
    <row r="269" spans="2:8" s="195" customFormat="1" x14ac:dyDescent="0.2">
      <c r="B269" s="83">
        <v>8</v>
      </c>
      <c r="C269" s="84" t="s">
        <v>28</v>
      </c>
      <c r="D269" s="85"/>
      <c r="E269" s="83"/>
      <c r="F269" s="194">
        <v>0</v>
      </c>
      <c r="G269" s="194"/>
      <c r="H269" s="51"/>
    </row>
    <row r="270" spans="2:8" x14ac:dyDescent="0.2">
      <c r="B270" s="52">
        <v>8.1</v>
      </c>
      <c r="C270" s="53" t="s">
        <v>57</v>
      </c>
      <c r="D270" s="54">
        <v>4775</v>
      </c>
      <c r="E270" s="52" t="s">
        <v>12</v>
      </c>
      <c r="F270" s="194">
        <v>28.44</v>
      </c>
      <c r="G270" s="194">
        <v>135801</v>
      </c>
      <c r="H270" s="51"/>
    </row>
    <row r="271" spans="2:8" x14ac:dyDescent="0.2">
      <c r="B271" s="52">
        <v>8.1999999999999993</v>
      </c>
      <c r="C271" s="53" t="s">
        <v>58</v>
      </c>
      <c r="D271" s="54">
        <v>9340</v>
      </c>
      <c r="E271" s="52" t="s">
        <v>12</v>
      </c>
      <c r="F271" s="194">
        <v>28.44</v>
      </c>
      <c r="G271" s="194">
        <v>265629.59999999998</v>
      </c>
      <c r="H271" s="51"/>
    </row>
    <row r="272" spans="2:8" x14ac:dyDescent="0.2">
      <c r="B272" s="52"/>
      <c r="C272" s="53"/>
      <c r="D272" s="54"/>
      <c r="E272" s="52"/>
      <c r="F272" s="194"/>
      <c r="G272" s="194"/>
      <c r="H272" s="51">
        <v>401430.6</v>
      </c>
    </row>
    <row r="273" spans="2:8" s="195" customFormat="1" x14ac:dyDescent="0.2">
      <c r="B273" s="83">
        <v>9</v>
      </c>
      <c r="C273" s="84" t="s">
        <v>20</v>
      </c>
      <c r="D273" s="85"/>
      <c r="E273" s="83"/>
      <c r="F273" s="194"/>
      <c r="G273" s="194"/>
      <c r="H273" s="51"/>
    </row>
    <row r="274" spans="2:8" ht="22.5" x14ac:dyDescent="0.2">
      <c r="B274" s="52">
        <v>9.1</v>
      </c>
      <c r="C274" s="53" t="s">
        <v>65</v>
      </c>
      <c r="D274" s="54">
        <v>66</v>
      </c>
      <c r="E274" s="52" t="s">
        <v>368</v>
      </c>
      <c r="F274" s="194">
        <v>475</v>
      </c>
      <c r="G274" s="194">
        <v>31350</v>
      </c>
      <c r="H274" s="51"/>
    </row>
    <row r="275" spans="2:8" ht="22.5" x14ac:dyDescent="0.2">
      <c r="B275" s="52">
        <v>9.1999999999999993</v>
      </c>
      <c r="C275" s="53" t="s">
        <v>66</v>
      </c>
      <c r="D275" s="54">
        <v>85.8</v>
      </c>
      <c r="E275" s="52" t="s">
        <v>368</v>
      </c>
      <c r="F275" s="194">
        <v>74.53</v>
      </c>
      <c r="G275" s="194">
        <v>6394.67</v>
      </c>
      <c r="H275" s="51"/>
    </row>
    <row r="276" spans="2:8" x14ac:dyDescent="0.2">
      <c r="B276" s="52"/>
      <c r="C276" s="53"/>
      <c r="D276" s="54"/>
      <c r="E276" s="52"/>
      <c r="F276" s="194"/>
      <c r="G276" s="194"/>
      <c r="H276" s="51">
        <v>37744.67</v>
      </c>
    </row>
    <row r="277" spans="2:8" s="195" customFormat="1" x14ac:dyDescent="0.2">
      <c r="B277" s="83">
        <v>10</v>
      </c>
      <c r="C277" s="84" t="s">
        <v>29</v>
      </c>
      <c r="D277" s="85"/>
      <c r="E277" s="83"/>
      <c r="F277" s="194"/>
      <c r="G277" s="194"/>
      <c r="H277" s="51"/>
    </row>
    <row r="278" spans="2:8" ht="22.5" x14ac:dyDescent="0.2">
      <c r="B278" s="52">
        <v>10.1</v>
      </c>
      <c r="C278" s="53" t="s">
        <v>89</v>
      </c>
      <c r="D278" s="54">
        <v>600</v>
      </c>
      <c r="E278" s="52" t="s">
        <v>369</v>
      </c>
      <c r="F278" s="194">
        <v>312.64999999999998</v>
      </c>
      <c r="G278" s="194">
        <v>187590</v>
      </c>
      <c r="H278" s="51"/>
    </row>
    <row r="279" spans="2:8" x14ac:dyDescent="0.2">
      <c r="B279" s="52">
        <v>10.199999999999999</v>
      </c>
      <c r="C279" s="53" t="s">
        <v>67</v>
      </c>
      <c r="D279" s="54">
        <v>60</v>
      </c>
      <c r="E279" s="52" t="s">
        <v>12</v>
      </c>
      <c r="F279" s="194">
        <v>341.3</v>
      </c>
      <c r="G279" s="194">
        <v>20478</v>
      </c>
      <c r="H279" s="51"/>
    </row>
    <row r="280" spans="2:8" x14ac:dyDescent="0.2">
      <c r="B280" s="52"/>
      <c r="C280" s="53"/>
      <c r="D280" s="54"/>
      <c r="E280" s="52"/>
      <c r="F280" s="194"/>
      <c r="G280" s="194"/>
      <c r="H280" s="51">
        <v>208068</v>
      </c>
    </row>
    <row r="281" spans="2:8" s="195" customFormat="1" x14ac:dyDescent="0.2">
      <c r="B281" s="83">
        <v>11</v>
      </c>
      <c r="C281" s="84" t="s">
        <v>22</v>
      </c>
      <c r="D281" s="85"/>
      <c r="E281" s="83"/>
      <c r="F281" s="194"/>
      <c r="G281" s="194"/>
      <c r="H281" s="51"/>
    </row>
    <row r="282" spans="2:8" x14ac:dyDescent="0.2">
      <c r="B282" s="52">
        <v>11.1</v>
      </c>
      <c r="C282" s="53" t="s">
        <v>68</v>
      </c>
      <c r="D282" s="54">
        <v>33960</v>
      </c>
      <c r="E282" s="52" t="s">
        <v>12</v>
      </c>
      <c r="F282" s="194">
        <v>43.43</v>
      </c>
      <c r="G282" s="194">
        <v>1474882.8</v>
      </c>
      <c r="H282" s="51"/>
    </row>
    <row r="283" spans="2:8" ht="22.5" x14ac:dyDescent="0.2">
      <c r="B283" s="52">
        <v>11.2</v>
      </c>
      <c r="C283" s="53" t="s">
        <v>83</v>
      </c>
      <c r="D283" s="54">
        <v>11359.25</v>
      </c>
      <c r="E283" s="52" t="s">
        <v>369</v>
      </c>
      <c r="F283" s="194">
        <v>9.43</v>
      </c>
      <c r="G283" s="194">
        <v>107117.73</v>
      </c>
      <c r="H283" s="51"/>
    </row>
    <row r="284" spans="2:8" ht="37.5" x14ac:dyDescent="0.2">
      <c r="B284" s="52">
        <v>11.3</v>
      </c>
      <c r="C284" s="53" t="s">
        <v>81</v>
      </c>
      <c r="D284" s="54">
        <v>763.26</v>
      </c>
      <c r="E284" s="52" t="s">
        <v>368</v>
      </c>
      <c r="F284" s="194">
        <v>74.53</v>
      </c>
      <c r="G284" s="194">
        <v>56885.77</v>
      </c>
      <c r="H284" s="51"/>
    </row>
    <row r="285" spans="2:8" ht="22.5" x14ac:dyDescent="0.2">
      <c r="B285" s="52">
        <v>11.4</v>
      </c>
      <c r="C285" s="53" t="s">
        <v>90</v>
      </c>
      <c r="D285" s="54">
        <v>11359.25</v>
      </c>
      <c r="E285" s="52" t="s">
        <v>369</v>
      </c>
      <c r="F285" s="194">
        <v>224.06</v>
      </c>
      <c r="G285" s="194">
        <v>2545153.56</v>
      </c>
      <c r="H285" s="51"/>
    </row>
    <row r="286" spans="2:8" ht="37.5" x14ac:dyDescent="0.2">
      <c r="B286" s="52">
        <v>11.5</v>
      </c>
      <c r="C286" s="53" t="s">
        <v>370</v>
      </c>
      <c r="D286" s="54">
        <v>14199.06</v>
      </c>
      <c r="E286" s="52" t="s">
        <v>369</v>
      </c>
      <c r="F286" s="194">
        <v>395.84</v>
      </c>
      <c r="G286" s="194">
        <v>5620555.9100000001</v>
      </c>
      <c r="H286" s="51"/>
    </row>
    <row r="287" spans="2:8" ht="22.5" x14ac:dyDescent="0.2">
      <c r="B287" s="52">
        <v>11.6</v>
      </c>
      <c r="C287" s="53" t="s">
        <v>69</v>
      </c>
      <c r="D287" s="54">
        <v>32678.284646399999</v>
      </c>
      <c r="E287" s="52" t="s">
        <v>371</v>
      </c>
      <c r="F287" s="194">
        <v>3</v>
      </c>
      <c r="G287" s="194">
        <v>98034.85</v>
      </c>
      <c r="H287" s="51"/>
    </row>
    <row r="288" spans="2:8" x14ac:dyDescent="0.2">
      <c r="B288" s="52"/>
      <c r="C288" s="53"/>
      <c r="D288" s="54"/>
      <c r="E288" s="52"/>
      <c r="F288" s="194"/>
      <c r="G288" s="194"/>
      <c r="H288" s="51">
        <v>9902630.6199999992</v>
      </c>
    </row>
    <row r="289" spans="2:8" ht="37.5" x14ac:dyDescent="0.2">
      <c r="B289" s="83">
        <v>12</v>
      </c>
      <c r="C289" s="84" t="s">
        <v>84</v>
      </c>
      <c r="D289" s="54"/>
      <c r="E289" s="52"/>
      <c r="F289" s="194"/>
      <c r="G289" s="194"/>
      <c r="H289" s="51"/>
    </row>
    <row r="290" spans="2:8" ht="56.25" x14ac:dyDescent="0.2">
      <c r="B290" s="52">
        <v>12.1</v>
      </c>
      <c r="C290" s="53" t="s">
        <v>91</v>
      </c>
      <c r="D290" s="54">
        <v>14085</v>
      </c>
      <c r="E290" s="52" t="s">
        <v>12</v>
      </c>
      <c r="F290" s="194">
        <v>7.97</v>
      </c>
      <c r="G290" s="194">
        <v>112257.45</v>
      </c>
      <c r="H290" s="51"/>
    </row>
    <row r="291" spans="2:8" ht="37.5" x14ac:dyDescent="0.2">
      <c r="B291" s="52">
        <v>12.2</v>
      </c>
      <c r="C291" s="53" t="s">
        <v>70</v>
      </c>
      <c r="D291" s="54">
        <v>14085</v>
      </c>
      <c r="E291" s="52" t="s">
        <v>12</v>
      </c>
      <c r="F291" s="194">
        <v>1</v>
      </c>
      <c r="G291" s="194">
        <v>14085</v>
      </c>
      <c r="H291" s="51"/>
    </row>
    <row r="292" spans="2:8" x14ac:dyDescent="0.2">
      <c r="B292" s="52"/>
      <c r="C292" s="53"/>
      <c r="D292" s="54"/>
      <c r="E292" s="52"/>
      <c r="F292" s="194"/>
      <c r="G292" s="194"/>
      <c r="H292" s="51">
        <v>126342.45</v>
      </c>
    </row>
    <row r="293" spans="2:8" x14ac:dyDescent="0.2">
      <c r="B293" s="83">
        <v>14</v>
      </c>
      <c r="C293" s="84" t="s">
        <v>16</v>
      </c>
      <c r="D293" s="54">
        <v>14085</v>
      </c>
      <c r="E293" s="52" t="s">
        <v>12</v>
      </c>
      <c r="F293" s="194">
        <v>4.3099999999999996</v>
      </c>
      <c r="G293" s="194">
        <v>60706.35</v>
      </c>
      <c r="H293" s="51"/>
    </row>
    <row r="294" spans="2:8" x14ac:dyDescent="0.2">
      <c r="B294" s="83"/>
      <c r="C294" s="84"/>
      <c r="D294" s="54"/>
      <c r="E294" s="52"/>
      <c r="F294" s="194"/>
      <c r="G294" s="194"/>
      <c r="H294" s="51">
        <v>60706.35</v>
      </c>
    </row>
    <row r="295" spans="2:8" ht="19.5" thickBot="1" x14ac:dyDescent="0.25">
      <c r="B295" s="83"/>
      <c r="C295" s="84"/>
      <c r="D295" s="54"/>
      <c r="E295" s="52"/>
      <c r="F295" s="194"/>
      <c r="G295" s="194"/>
      <c r="H295" s="51"/>
    </row>
    <row r="296" spans="2:8" ht="19.5" thickBot="1" x14ac:dyDescent="0.25">
      <c r="B296" s="57"/>
      <c r="C296" s="58" t="s">
        <v>381</v>
      </c>
      <c r="D296" s="60"/>
      <c r="E296" s="61"/>
      <c r="F296" s="61"/>
      <c r="G296" s="62"/>
      <c r="H296" s="59">
        <v>17679609.140000001</v>
      </c>
    </row>
    <row r="297" spans="2:8" x14ac:dyDescent="0.2">
      <c r="B297" s="52"/>
      <c r="C297" s="53"/>
      <c r="D297" s="54"/>
      <c r="E297" s="52"/>
      <c r="F297" s="194"/>
      <c r="G297" s="194"/>
      <c r="H297" s="51"/>
    </row>
    <row r="298" spans="2:8" x14ac:dyDescent="0.2">
      <c r="B298" s="83" t="s">
        <v>18</v>
      </c>
      <c r="C298" s="84" t="s">
        <v>9</v>
      </c>
      <c r="D298" s="54"/>
      <c r="E298" s="52"/>
      <c r="F298" s="194"/>
      <c r="G298" s="194"/>
      <c r="H298" s="51"/>
    </row>
    <row r="299" spans="2:8" ht="77.650000000000006" customHeight="1" x14ac:dyDescent="0.2">
      <c r="B299" s="52">
        <v>1</v>
      </c>
      <c r="C299" s="53" t="s">
        <v>92</v>
      </c>
      <c r="D299" s="54">
        <v>4</v>
      </c>
      <c r="E299" s="52" t="s">
        <v>32</v>
      </c>
      <c r="F299" s="194">
        <v>44496.39</v>
      </c>
      <c r="G299" s="194">
        <v>177985.56</v>
      </c>
      <c r="H299" s="51"/>
    </row>
    <row r="300" spans="2:8" x14ac:dyDescent="0.2">
      <c r="B300" s="83"/>
      <c r="C300" s="84"/>
      <c r="D300" s="54"/>
      <c r="E300" s="52"/>
      <c r="F300" s="194"/>
      <c r="G300" s="194"/>
      <c r="H300" s="51"/>
    </row>
    <row r="301" spans="2:8" x14ac:dyDescent="0.2">
      <c r="B301" s="52">
        <v>2</v>
      </c>
      <c r="C301" s="53" t="s">
        <v>93</v>
      </c>
      <c r="D301" s="54">
        <v>10</v>
      </c>
      <c r="E301" s="52" t="s">
        <v>85</v>
      </c>
      <c r="F301" s="194">
        <v>1093.75</v>
      </c>
      <c r="G301" s="194">
        <v>10937.5</v>
      </c>
      <c r="H301" s="51"/>
    </row>
    <row r="302" spans="2:8" x14ac:dyDescent="0.2">
      <c r="B302" s="52"/>
      <c r="C302" s="53"/>
      <c r="D302" s="54"/>
      <c r="E302" s="52"/>
      <c r="F302" s="194"/>
      <c r="G302" s="194"/>
      <c r="H302" s="51">
        <v>188923.06</v>
      </c>
    </row>
    <row r="303" spans="2:8" ht="19.5" thickBot="1" x14ac:dyDescent="0.25">
      <c r="B303" s="52"/>
      <c r="C303" s="53"/>
      <c r="D303" s="54"/>
      <c r="E303" s="52"/>
      <c r="F303" s="194"/>
      <c r="G303" s="194"/>
      <c r="H303" s="51"/>
    </row>
    <row r="304" spans="2:8" ht="19.5" thickBot="1" x14ac:dyDescent="0.25">
      <c r="B304" s="57"/>
      <c r="C304" s="58" t="s">
        <v>380</v>
      </c>
      <c r="D304" s="60"/>
      <c r="E304" s="61"/>
      <c r="F304" s="60"/>
      <c r="G304" s="62"/>
      <c r="H304" s="59">
        <v>188923.06</v>
      </c>
    </row>
    <row r="305" spans="2:9" x14ac:dyDescent="0.2">
      <c r="B305" s="55"/>
      <c r="C305" s="56"/>
      <c r="D305" s="201"/>
      <c r="E305" s="202"/>
      <c r="F305" s="192"/>
      <c r="G305" s="194"/>
      <c r="H305" s="51"/>
    </row>
    <row r="306" spans="2:9" ht="19.5" thickBot="1" x14ac:dyDescent="0.25">
      <c r="B306" s="55"/>
      <c r="C306" s="50"/>
      <c r="D306" s="192"/>
      <c r="E306" s="193"/>
      <c r="F306" s="194"/>
      <c r="G306" s="194"/>
      <c r="H306" s="51"/>
    </row>
    <row r="307" spans="2:9" ht="19.5" thickBot="1" x14ac:dyDescent="0.25">
      <c r="B307" s="57"/>
      <c r="C307" s="58" t="s">
        <v>372</v>
      </c>
      <c r="D307" s="60"/>
      <c r="E307" s="61"/>
      <c r="F307" s="60"/>
      <c r="G307" s="62"/>
      <c r="H307" s="59">
        <v>17868532.199999999</v>
      </c>
    </row>
    <row r="308" spans="2:9" x14ac:dyDescent="0.2">
      <c r="B308" s="68"/>
      <c r="C308" s="63"/>
      <c r="D308" s="64"/>
      <c r="E308" s="65"/>
      <c r="F308" s="64"/>
      <c r="G308" s="64"/>
      <c r="H308" s="64"/>
      <c r="I308" s="203"/>
    </row>
    <row r="309" spans="2:9" x14ac:dyDescent="0.2">
      <c r="B309" s="73"/>
      <c r="C309" s="66" t="s">
        <v>373</v>
      </c>
      <c r="D309" s="67"/>
      <c r="E309" s="68"/>
      <c r="G309" s="69"/>
      <c r="H309" s="69"/>
    </row>
    <row r="310" spans="2:9" x14ac:dyDescent="0.2">
      <c r="B310" s="73"/>
      <c r="C310" s="186" t="s">
        <v>71</v>
      </c>
      <c r="D310" s="204">
        <v>0.03</v>
      </c>
      <c r="E310" s="71"/>
      <c r="G310" s="188">
        <v>536055.97</v>
      </c>
      <c r="H310" s="69"/>
    </row>
    <row r="311" spans="2:9" x14ac:dyDescent="0.2">
      <c r="B311" s="73"/>
      <c r="C311" s="186" t="s">
        <v>72</v>
      </c>
      <c r="D311" s="204">
        <v>0.1</v>
      </c>
      <c r="E311" s="71"/>
      <c r="G311" s="188">
        <v>1786853.22</v>
      </c>
      <c r="H311" s="69"/>
    </row>
    <row r="312" spans="2:9" x14ac:dyDescent="0.2">
      <c r="B312" s="73"/>
      <c r="C312" s="186" t="s">
        <v>73</v>
      </c>
      <c r="D312" s="204">
        <v>0.04</v>
      </c>
      <c r="E312" s="71"/>
      <c r="G312" s="188">
        <v>714741.29</v>
      </c>
      <c r="H312" s="69"/>
    </row>
    <row r="313" spans="2:9" x14ac:dyDescent="0.2">
      <c r="B313" s="73"/>
      <c r="C313" s="186" t="s">
        <v>74</v>
      </c>
      <c r="D313" s="204">
        <v>0.05</v>
      </c>
      <c r="E313" s="71"/>
      <c r="G313" s="188">
        <v>893426.61</v>
      </c>
      <c r="H313" s="69"/>
    </row>
    <row r="314" spans="2:9" x14ac:dyDescent="0.2">
      <c r="B314" s="73"/>
      <c r="C314" s="186" t="s">
        <v>75</v>
      </c>
      <c r="D314" s="204">
        <v>4.4999999999999998E-2</v>
      </c>
      <c r="E314" s="71"/>
      <c r="G314" s="188">
        <v>804083.95</v>
      </c>
      <c r="H314" s="69"/>
    </row>
    <row r="315" spans="2:9" x14ac:dyDescent="0.2">
      <c r="B315" s="73"/>
      <c r="C315" s="186" t="s">
        <v>76</v>
      </c>
      <c r="D315" s="204">
        <v>0.01</v>
      </c>
      <c r="E315" s="71"/>
      <c r="G315" s="188">
        <v>178685.32</v>
      </c>
      <c r="H315" s="69"/>
    </row>
    <row r="316" spans="2:9" x14ac:dyDescent="0.2">
      <c r="B316" s="73"/>
      <c r="C316" s="186" t="s">
        <v>77</v>
      </c>
      <c r="D316" s="204">
        <v>0.18</v>
      </c>
      <c r="E316" s="71"/>
      <c r="F316" s="72"/>
      <c r="G316" s="188">
        <v>321633.58</v>
      </c>
      <c r="H316" s="69"/>
    </row>
    <row r="317" spans="2:9" x14ac:dyDescent="0.2">
      <c r="B317" s="73"/>
      <c r="C317" s="186" t="s">
        <v>14</v>
      </c>
      <c r="D317" s="204">
        <v>1E-3</v>
      </c>
      <c r="E317" s="71"/>
      <c r="F317" s="72"/>
      <c r="G317" s="188">
        <v>17868.53</v>
      </c>
      <c r="H317" s="69"/>
    </row>
    <row r="318" spans="2:9" x14ac:dyDescent="0.2">
      <c r="B318" s="73"/>
      <c r="C318" s="186" t="s">
        <v>80</v>
      </c>
      <c r="D318" s="204">
        <v>0.05</v>
      </c>
      <c r="E318" s="71"/>
      <c r="F318" s="72"/>
      <c r="G318" s="188">
        <v>893426.61</v>
      </c>
      <c r="H318" s="69"/>
    </row>
    <row r="319" spans="2:9" ht="37.5" x14ac:dyDescent="0.2">
      <c r="B319" s="73"/>
      <c r="C319" s="187" t="s">
        <v>79</v>
      </c>
      <c r="D319" s="204">
        <v>0.03</v>
      </c>
      <c r="E319" s="71"/>
      <c r="F319" s="72"/>
      <c r="G319" s="188">
        <v>536055.97</v>
      </c>
      <c r="H319" s="72"/>
    </row>
    <row r="320" spans="2:9" x14ac:dyDescent="0.2">
      <c r="B320" s="73"/>
      <c r="C320" s="186" t="s">
        <v>78</v>
      </c>
      <c r="D320" s="204">
        <v>0.1</v>
      </c>
      <c r="E320" s="68"/>
      <c r="G320" s="188">
        <v>1786853.22</v>
      </c>
      <c r="H320" s="69"/>
    </row>
    <row r="321" spans="2:10" x14ac:dyDescent="0.2">
      <c r="B321" s="73"/>
      <c r="C321" s="66"/>
      <c r="D321" s="67"/>
      <c r="E321" s="68"/>
      <c r="G321" s="69"/>
      <c r="H321" s="72">
        <v>8469684.2699999996</v>
      </c>
    </row>
    <row r="322" spans="2:10" ht="19.5" thickBot="1" x14ac:dyDescent="0.25">
      <c r="B322" s="68"/>
      <c r="C322" s="66"/>
      <c r="D322" s="72"/>
      <c r="E322" s="73"/>
      <c r="F322" s="72"/>
      <c r="G322" s="72"/>
      <c r="H322" s="72"/>
    </row>
    <row r="323" spans="2:10" ht="19.5" thickBot="1" x14ac:dyDescent="0.25">
      <c r="B323" s="74"/>
      <c r="C323" s="362" t="s">
        <v>374</v>
      </c>
      <c r="D323" s="362"/>
      <c r="E323" s="362"/>
      <c r="F323" s="75"/>
      <c r="G323" s="75"/>
      <c r="H323" s="76">
        <v>26338216.469999999</v>
      </c>
      <c r="J323" s="203"/>
    </row>
    <row r="324" spans="2:10" ht="18.75" customHeight="1" x14ac:dyDescent="0.2">
      <c r="B324" s="206"/>
      <c r="C324" s="207"/>
      <c r="D324" s="77"/>
      <c r="E324" s="68"/>
      <c r="F324" s="70"/>
      <c r="G324" s="78"/>
      <c r="H324" s="79"/>
    </row>
    <row r="326" spans="2:10" x14ac:dyDescent="0.2">
      <c r="B326" s="81" t="s">
        <v>376</v>
      </c>
    </row>
    <row r="327" spans="2:10" x14ac:dyDescent="0.2">
      <c r="C327" s="82" t="s">
        <v>377</v>
      </c>
    </row>
    <row r="328" spans="2:10" x14ac:dyDescent="0.2">
      <c r="C328" s="82" t="s">
        <v>378</v>
      </c>
    </row>
    <row r="329" spans="2:10" x14ac:dyDescent="0.2">
      <c r="C329" s="82" t="s">
        <v>379</v>
      </c>
    </row>
    <row r="331" spans="2:10" x14ac:dyDescent="0.2">
      <c r="B331" s="81" t="s">
        <v>376</v>
      </c>
    </row>
    <row r="332" spans="2:10" x14ac:dyDescent="0.2">
      <c r="C332" s="82" t="s">
        <v>383</v>
      </c>
    </row>
    <row r="333" spans="2:10" x14ac:dyDescent="0.2">
      <c r="C333" s="82" t="s">
        <v>382</v>
      </c>
    </row>
  </sheetData>
  <mergeCells count="16">
    <mergeCell ref="B112:C112"/>
    <mergeCell ref="C215:E215"/>
    <mergeCell ref="C323:E323"/>
    <mergeCell ref="B220:C220"/>
    <mergeCell ref="E219:G219"/>
    <mergeCell ref="B219:C219"/>
    <mergeCell ref="B1:H1"/>
    <mergeCell ref="B2:H2"/>
    <mergeCell ref="B108:C108"/>
    <mergeCell ref="E108:G108"/>
    <mergeCell ref="B111:C111"/>
    <mergeCell ref="E111:G111"/>
    <mergeCell ref="B3:C3"/>
    <mergeCell ref="E3:G3"/>
    <mergeCell ref="B4:C4"/>
    <mergeCell ref="C107:E107"/>
  </mergeCells>
  <pageMargins left="0.7" right="0.7" top="0.75" bottom="0.75" header="0.3" footer="0.3"/>
  <pageSetup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D9009035C0884FB7E4DC9763ED0797" ma:contentTypeVersion="9" ma:contentTypeDescription="Crear nuevo documento." ma:contentTypeScope="" ma:versionID="6bf2c74175d214a5cdacbfe025eb2972">
  <xsd:schema xmlns:xsd="http://www.w3.org/2001/XMLSchema" xmlns:xs="http://www.w3.org/2001/XMLSchema" xmlns:p="http://schemas.microsoft.com/office/2006/metadata/properties" xmlns:ns2="728b4156-a6f7-41ed-9944-f01b0a09d4f8" xmlns:ns3="35b9b9da-668d-450b-bd57-deb2d84c97b9" targetNamespace="http://schemas.microsoft.com/office/2006/metadata/properties" ma:root="true" ma:fieldsID="e589569c8d988256771d3e4018d0e628" ns2:_="" ns3:_="">
    <xsd:import namespace="728b4156-a6f7-41ed-9944-f01b0a09d4f8"/>
    <xsd:import namespace="35b9b9da-668d-450b-bd57-deb2d84c9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b4156-a6f7-41ed-9944-f01b0a09d4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9b9da-668d-450b-bd57-deb2d84c9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D8FA29-632D-4226-B29B-FB7BFE22F0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FE7519-B490-4607-AEE3-ABB3E87BA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b4156-a6f7-41ed-9944-f01b0a09d4f8"/>
    <ds:schemaRef ds:uri="35b9b9da-668d-450b-bd57-deb2d84c9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20DA25-DE64-4CD5-ACDD-7C7F6D8A829A}">
  <ds:schemaRefs>
    <ds:schemaRef ds:uri="http://purl.org/dc/dcmitype/"/>
    <ds:schemaRef ds:uri="http://schemas.microsoft.com/office/2006/documentManagement/types"/>
    <ds:schemaRef ds:uri="728b4156-a6f7-41ed-9944-f01b0a09d4f8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5b9b9da-668d-450b-bd57-deb2d84c97b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ORIGINAL</vt:lpstr>
      <vt:lpstr>ANALISIS DE COSTOS OB</vt:lpstr>
      <vt:lpstr>EQ CON CUBQ</vt:lpstr>
      <vt:lpstr>'ANALISIS DE COSTOS OB'!Área_de_impresión</vt:lpstr>
    </vt:vector>
  </TitlesOfParts>
  <Company>INAPA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Franklin Xavier Morillo Duluc</cp:lastModifiedBy>
  <cp:lastPrinted>2022-11-03T11:59:55Z</cp:lastPrinted>
  <dcterms:created xsi:type="dcterms:W3CDTF">2000-07-13T16:24:23Z</dcterms:created>
  <dcterms:modified xsi:type="dcterms:W3CDTF">2024-01-10T14:51:44Z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0x0101004ED9009035C0884FB7E4DC9763ED0797</vt:lpwstr>
  </property>
</Properties>
</file>